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7773462-7B39-470B-9E6B-5A54F0CBA1D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2" i="4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<sst xmlns="http://schemas.openxmlformats.org/spreadsheetml/2006/main" count="390" uniqueCount="270">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</sst>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21481669957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266</v>
      </c>
      <c r="D18" s="24"/>
    </row>
    <row r="19" spans="2:13" ht="13.9" x14ac:dyDescent="0.4">
      <c r="B19" s="240" t="s">
        <v>239</v>
      </c>
      <c r="C19" s="242" t="s">
        <v>266</v>
      </c>
      <c r="D19" s="24"/>
    </row>
    <row r="20" spans="2:13" ht="13.9" x14ac:dyDescent="0.4">
      <c r="B20" s="241" t="s">
        <v>228</v>
      </c>
      <c r="C20" s="242" t="s">
        <v>266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6.5387987559273747E-2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260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268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207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0941.HK</v>
      </c>
      <c r="D3" s="278"/>
      <c r="E3" s="87"/>
      <c r="F3" s="3" t="s">
        <v>1</v>
      </c>
      <c r="G3" s="132">
        <v>74.5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中国移动</v>
      </c>
      <c r="D4" s="280"/>
      <c r="E4" s="87"/>
      <c r="F4" s="3" t="s">
        <v>2</v>
      </c>
      <c r="G4" s="283">
        <f>Inputs!C10</f>
        <v>21481669957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1600384.4117965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2.2215198715160572E-2</v>
      </c>
      <c r="F23" s="140" t="s">
        <v>188</v>
      </c>
      <c r="G23" s="177">
        <f>G3/(Data!C36*Data!C4/Common_Shares*Exchange_Rate)</f>
        <v>1.0796812110190168</v>
      </c>
    </row>
    <row r="24" spans="1:8" ht="15.75" customHeight="1" x14ac:dyDescent="0.4">
      <c r="B24" s="137" t="s">
        <v>170</v>
      </c>
      <c r="C24" s="171">
        <f>Fin_Analysis!I81</f>
        <v>3.6955976811858409E-3</v>
      </c>
      <c r="F24" s="140" t="s">
        <v>257</v>
      </c>
      <c r="G24" s="268">
        <f>G3/(Fin_Analysis!H86*G7)</f>
        <v>24.265423047786246</v>
      </c>
    </row>
    <row r="25" spans="1:8" ht="15.75" customHeight="1" x14ac:dyDescent="0.4">
      <c r="B25" s="137" t="s">
        <v>243</v>
      </c>
      <c r="C25" s="171">
        <f>Fin_Analysis!I82</f>
        <v>2.5630406545468234E-2</v>
      </c>
      <c r="F25" s="140" t="s">
        <v>174</v>
      </c>
      <c r="G25" s="171">
        <f>Fin_Analysis!I88</f>
        <v>1.5866671803691612</v>
      </c>
    </row>
    <row r="26" spans="1:8" ht="15.75" customHeight="1" x14ac:dyDescent="0.4">
      <c r="B26" s="138" t="s">
        <v>173</v>
      </c>
      <c r="C26" s="171">
        <f>Fin_Analysis!I83</f>
        <v>8.1342449801464822E-2</v>
      </c>
      <c r="F26" s="141" t="s">
        <v>193</v>
      </c>
      <c r="G26" s="178">
        <f>Fin_Analysis!H88*Exchange_Rate/G3</f>
        <v>6.5387987559273747E-2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46.705451205343984</v>
      </c>
      <c r="D29" s="129">
        <f>G29*(1+G20)</f>
        <v>86.300205986591763</v>
      </c>
      <c r="E29" s="87"/>
      <c r="F29" s="131">
        <f>IF(Fin_Analysis!C108="Profit",Fin_Analysis!F100,IF(Fin_Analysis!C108="Dividend",Fin_Analysis!F103,Fin_Analysis!F106))</f>
        <v>54.947589653345865</v>
      </c>
      <c r="G29" s="274">
        <f>IF(Fin_Analysis!C108="Profit",Fin_Analysis!I100,IF(Fin_Analysis!C108="Dividend",Fin_Analysis!I103,Fin_Analysis!I106))</f>
        <v>75.043657379645012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0.11138591111982202</v>
      </c>
      <c r="D40" s="155">
        <f>IF(D6="","",D14/MAX(D39,0))</f>
        <v>0.1076571445750132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0.8668930922046667</v>
      </c>
      <c r="D43" s="153">
        <f t="shared" si="35"/>
        <v>0.86225899137805029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2.2215198715160572E-2</v>
      </c>
      <c r="D44" s="153">
        <f t="shared" si="36"/>
        <v>2.4337989819249534E-2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3.6955976811858409E-3</v>
      </c>
      <c r="D45" s="153">
        <f t="shared" si="37"/>
        <v>2.4859723939700765E-3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2.2325505205376484E-4</v>
      </c>
      <c r="D46" s="153">
        <f t="shared" ref="D46:M46" si="38">IF(D6="","",MAX(D12,0)/D6)</f>
        <v>1.9204936949125055E-4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2.5630406545468234E-2</v>
      </c>
      <c r="D47" s="153">
        <f t="shared" ref="D47:M47" si="39">IF(D6="","",ABS(MAX(D21,0)-MAX(D19,0))/D6)</f>
        <v>1.1191143536631816E-2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8.1342449801464822E-2</v>
      </c>
      <c r="D48" s="153">
        <f t="shared" si="40"/>
        <v>9.9533853502607073E-2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0.10000802529255164</v>
      </c>
      <c r="D50" s="156">
        <f t="shared" si="41"/>
        <v>7.3008634753040522E-2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1.2499640843388893E-2</v>
      </c>
      <c r="D51" s="153">
        <f t="shared" si="42"/>
        <v>1.2831031763898772E-2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0.31546091797268211</v>
      </c>
      <c r="D53" s="156">
        <f t="shared" ref="D53:M53" si="43">IF(D36="","",(D27-D36)/D27)</f>
        <v>0.32452750272625946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0.85815476812654601</v>
      </c>
      <c r="D54" s="157">
        <f t="shared" si="44"/>
        <v>0.90629918200011661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4.5432583973138346E-2</v>
      </c>
      <c r="D55" s="153">
        <f t="shared" si="45"/>
        <v>2.4976149385243705E-2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0.96378562214143304</v>
      </c>
      <c r="D56" s="158">
        <f t="shared" si="46"/>
        <v>0.89175655474295745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-25728.871343113678</v>
      </c>
      <c r="E6" s="56">
        <f>1-D6/D3</f>
        <v>1.0185919847493612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1.0796812110190168</v>
      </c>
      <c r="E53" s="88">
        <f>IF(C53=0,0,MAX(C53,C53*Dashboard!G23))</f>
        <v>4669.6212376572475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232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160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4.1210903186426444E-2</v>
      </c>
      <c r="D87" s="209"/>
      <c r="E87" s="262">
        <f>E86*Exchange_Rate/Dashboard!G3</f>
        <v>4.1210903186426444E-2</v>
      </c>
      <c r="F87" s="209"/>
      <c r="H87" s="262">
        <f>H86*Exchange_Rate/Dashboard!G3</f>
        <v>4.1210903186426444E-2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221</v>
      </c>
      <c r="C89" s="261">
        <f>C88*Exchange_Rate/Dashboard!G3</f>
        <v>6.5387987559273747E-2</v>
      </c>
      <c r="D89" s="209"/>
      <c r="E89" s="261">
        <f>E88*Exchange_Rate/Dashboard!G3</f>
        <v>6.5387987559273747E-2</v>
      </c>
      <c r="F89" s="209"/>
      <c r="H89" s="261">
        <f>H88*Exchange_Rate/Dashboard!G3</f>
        <v>6.5387987559273747E-2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62.102140150035204</v>
      </c>
      <c r="H93" s="87" t="s">
        <v>209</v>
      </c>
      <c r="I93" s="144">
        <f>FV(H87,D93,0,-(H86/(C93-D94)))*Exchange_Rate</f>
        <v>62.102140150035204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110.5192293850578</v>
      </c>
      <c r="H94" s="87" t="s">
        <v>210</v>
      </c>
      <c r="I94" s="144">
        <f>FV(H89,D93,0,-(H88/(C93-D94)))*Exchange_Rate</f>
        <v>110.5192293850578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663262.44120994303</v>
      </c>
      <c r="D97" s="213"/>
      <c r="E97" s="123">
        <f>PV(C94,D93,0,-F93)</f>
        <v>30.875739294831352</v>
      </c>
      <c r="F97" s="213"/>
      <c r="H97" s="123">
        <f>PV(C94,D93,0,-I93)</f>
        <v>30.875739294831352</v>
      </c>
      <c r="I97" s="123">
        <f>PV(C93,D93,0,-I93)</f>
        <v>42.16797161808676</v>
      </c>
      <c r="K97" s="24"/>
    </row>
    <row r="98" spans="2:11" ht="15" customHeight="1" x14ac:dyDescent="0.4">
      <c r="B98" s="28" t="s">
        <v>144</v>
      </c>
      <c r="C98" s="91">
        <f>E53*Exchange_Rate</f>
        <v>5001.6747112767625</v>
      </c>
      <c r="D98" s="213"/>
      <c r="E98" s="213"/>
      <c r="F98" s="213"/>
      <c r="H98" s="123">
        <f>C98*Data!$C$4/Common_Shares</f>
        <v>0.23283453852929722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658260.76649866626</v>
      </c>
      <c r="D100" s="109">
        <f>MIN(F100*(1-C94),E100)</f>
        <v>26.046469042856746</v>
      </c>
      <c r="E100" s="109">
        <f>MAX(E97-H98+E99,0)</f>
        <v>30.642904756302055</v>
      </c>
      <c r="F100" s="109">
        <f>(E100+H100)/2</f>
        <v>30.642904756302055</v>
      </c>
      <c r="H100" s="109">
        <f>MAX(C100*Data!$C$4/Common_Shares,0)</f>
        <v>30.642904756302055</v>
      </c>
      <c r="I100" s="109">
        <f>MAX(I97-H98+H99,0)</f>
        <v>41.935137079557464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1180365.9858658439</v>
      </c>
      <c r="D103" s="109">
        <f>MIN(F103*(1-C94),E103)</f>
        <v>46.705451205343984</v>
      </c>
      <c r="E103" s="123">
        <f>PV(C94,D93,0,-F94)</f>
        <v>54.947589653345865</v>
      </c>
      <c r="F103" s="109">
        <f>(E103+H103)/2</f>
        <v>54.947589653345865</v>
      </c>
      <c r="H103" s="123">
        <f>PV(C94,D93,0,-I94)</f>
        <v>54.947589653345865</v>
      </c>
      <c r="I103" s="109">
        <f>PV(C93,D93,0,-I94)</f>
        <v>75.043657379645012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919313.37618225499</v>
      </c>
      <c r="D106" s="109">
        <f>(D100+D103)/2</f>
        <v>36.375960124100366</v>
      </c>
      <c r="E106" s="123">
        <f>(E100+E103)/2</f>
        <v>42.795247204823958</v>
      </c>
      <c r="F106" s="109">
        <f>(F100+F103)/2</f>
        <v>42.795247204823958</v>
      </c>
      <c r="H106" s="123">
        <f>(H100+H103)/2</f>
        <v>42.795247204823958</v>
      </c>
      <c r="I106" s="123">
        <f>(I100+I103)/2</f>
        <v>58.489397229601238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