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18EBC44-CA45-4DB3-A0A9-2C059A1439F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<sst xmlns="http://schemas.openxmlformats.org/spreadsheetml/2006/main" count="390" uniqueCount="271">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</sst>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349983033873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1318408</v>
      </c>
      <c r="D25" s="149">
        <v>1203982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150324</v>
      </c>
      <c r="D26" s="150">
        <v>159502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252305</v>
      </c>
      <c r="D27" s="150">
        <v>243571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651948</v>
      </c>
      <c r="D29" s="150">
        <v>518581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464</v>
      </c>
      <c r="D30" s="150">
        <v>-366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0.2309+0.1164</f>
        <v>0.3473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8.9637652558016478E-2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1318408</v>
      </c>
      <c r="D91" s="209"/>
      <c r="E91" s="251">
        <f>C91</f>
        <v>1318408</v>
      </c>
      <c r="F91" s="251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59">
        <f>C92/C91</f>
        <v>0.11401933240696355</v>
      </c>
      <c r="E92" s="252">
        <f>E91*D92</f>
        <v>150324</v>
      </c>
      <c r="F92" s="252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59">
        <f>C93/C91</f>
        <v>0.19137095648691452</v>
      </c>
      <c r="E93" s="252">
        <f>E91*D93</f>
        <v>252305</v>
      </c>
      <c r="F93" s="252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59">
        <f>C94/C91</f>
        <v>0.49449639261897682</v>
      </c>
      <c r="E94" s="253"/>
      <c r="F94" s="252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59">
        <f>C97/C91</f>
        <v>4.6925281602255647E-4</v>
      </c>
      <c r="E97" s="253"/>
      <c r="F97" s="252">
        <f>F91*D97</f>
        <v>618.66666666666663</v>
      </c>
    </row>
    <row r="98" spans="2:7" ht="13.9" x14ac:dyDescent="0.4">
      <c r="B98" s="86" t="s">
        <v>207</v>
      </c>
      <c r="C98" s="237">
        <f>C44</f>
        <v>0.3473</v>
      </c>
      <c r="D98" s="266"/>
      <c r="E98" s="254">
        <f>F98</f>
        <v>0.23089999999999999</v>
      </c>
      <c r="F98" s="254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1288.HK</v>
      </c>
      <c r="D3" s="278"/>
      <c r="E3" s="87"/>
      <c r="F3" s="3" t="s">
        <v>1</v>
      </c>
      <c r="G3" s="132">
        <v>4.1500000000000004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农业银行</v>
      </c>
      <c r="D4" s="280"/>
      <c r="E4" s="87"/>
      <c r="F4" s="3" t="s">
        <v>2</v>
      </c>
      <c r="G4" s="283">
        <f>Inputs!C10</f>
        <v>349983033873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1452429.5905729502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0.11401933240696355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0.49449639261897682</v>
      </c>
      <c r="F24" s="140" t="s">
        <v>257</v>
      </c>
      <c r="G24" s="268">
        <f>G3/(Fin_Analysis!H86*G7)</f>
        <v>6.8690045126332357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0.40935813555482176</v>
      </c>
    </row>
    <row r="26" spans="1:8" ht="15.75" customHeight="1" x14ac:dyDescent="0.4">
      <c r="B26" s="138" t="s">
        <v>173</v>
      </c>
      <c r="C26" s="171">
        <f>Fin_Analysis!I83</f>
        <v>0.19964406567112258</v>
      </c>
      <c r="F26" s="141" t="s">
        <v>193</v>
      </c>
      <c r="G26" s="178">
        <f>Fin_Analysis!H88*Exchange_Rate/G3</f>
        <v>5.959497257600347E-2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2.3074458367008366</v>
      </c>
      <c r="D29" s="129">
        <f>G29*(1+G20)</f>
        <v>4.2635933466241989</v>
      </c>
      <c r="E29" s="87"/>
      <c r="F29" s="131">
        <f>IF(Fin_Analysis!C108="Profit",Fin_Analysis!F100,IF(Fin_Analysis!C108="Dividend",Fin_Analysis!F103,Fin_Analysis!F106))</f>
        <v>2.7146421608245137</v>
      </c>
      <c r="G29" s="274">
        <f>IF(Fin_Analysis!C108="Profit",Fin_Analysis!I100,IF(Fin_Analysis!C108="Dividend",Fin_Analysis!I103,Fin_Analysis!I106))</f>
        <v>3.7074724753253903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1318408</v>
      </c>
      <c r="D6" s="200">
        <f>IF(Inputs!D25="","",Inputs!D25)</f>
        <v>1203982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150324</v>
      </c>
      <c r="D8" s="199">
        <f>IF(Inputs!D26="","",Inputs!D26)</f>
        <v>159502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1168084</v>
      </c>
      <c r="D9" s="151">
        <f t="shared" si="2"/>
        <v>1044480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252305</v>
      </c>
      <c r="D10" s="199">
        <f>IF(Inputs!D27="","",Inputs!D27)</f>
        <v>243571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618.66666666666663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0.6941404582900994</v>
      </c>
      <c r="D13" s="229">
        <f t="shared" si="3"/>
        <v>0.6652167557322286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915160.33333333337</v>
      </c>
      <c r="D14" s="230">
        <f t="shared" ref="D14:M14" si="4">IF(D6="","",D9-D10-MAX(D11,0)-MAX(D12,0))</f>
        <v>800909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0.14265207824276338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651948</v>
      </c>
      <c r="D17" s="199">
        <f>IF(Inputs!D29="","",Inputs!D29)</f>
        <v>518581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263212.33333333337</v>
      </c>
      <c r="D22" s="161">
        <f t="shared" ref="D22:M22" si="8">IF(D6="","",D14-MAX(D16,0)-MAX(D17,0)-ABS(MAX(D21,0)-MAX(D19,0)))</f>
        <v>282328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0.14973304925334194</v>
      </c>
      <c r="D23" s="153">
        <f t="shared" si="9"/>
        <v>0.17587140007076518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-6.7707300255966912E-2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0.11401933240696355</v>
      </c>
      <c r="D42" s="156">
        <f t="shared" si="34"/>
        <v>0.13247872476498818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0.19137095648691452</v>
      </c>
      <c r="D43" s="153">
        <f t="shared" si="35"/>
        <v>0.20230451950278328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0.49449639261897682</v>
      </c>
      <c r="D45" s="153">
        <f t="shared" si="37"/>
        <v>0.43072155563787501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4.6925281602255647E-4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0.19964406567112258</v>
      </c>
      <c r="D48" s="153">
        <f t="shared" si="40"/>
        <v>0.23449520009435357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2.4768900140190997</v>
      </c>
      <c r="D55" s="153">
        <f t="shared" si="45"/>
        <v>1.8368032926241817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09"/>
      <c r="E74" s="238">
        <f>Inputs!E91</f>
        <v>1318408</v>
      </c>
      <c r="F74" s="209"/>
      <c r="H74" s="238">
        <f>Inputs!F91</f>
        <v>1318408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59">
        <f>C75/$C$74</f>
        <v>0.11401933240696355</v>
      </c>
      <c r="E75" s="238">
        <f>Inputs!E92</f>
        <v>150324</v>
      </c>
      <c r="F75" s="160">
        <f>E75/E74</f>
        <v>0.11401933240696355</v>
      </c>
      <c r="H75" s="238">
        <f>Inputs!F92</f>
        <v>150324</v>
      </c>
      <c r="I75" s="160">
        <f>H75/$H$74</f>
        <v>0.11401933240696355</v>
      </c>
      <c r="K75" s="24"/>
    </row>
    <row r="76" spans="1:11" ht="15" customHeight="1" x14ac:dyDescent="0.4">
      <c r="B76" s="35" t="s">
        <v>95</v>
      </c>
      <c r="C76" s="161">
        <f>C74-C75</f>
        <v>1168084</v>
      </c>
      <c r="D76" s="210"/>
      <c r="E76" s="162">
        <f>E74-E75</f>
        <v>1168084</v>
      </c>
      <c r="F76" s="210"/>
      <c r="H76" s="162">
        <f>H74-H75</f>
        <v>1168084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59">
        <f>C77/$C$74</f>
        <v>0.19137095648691452</v>
      </c>
      <c r="E77" s="238">
        <f>Inputs!E93</f>
        <v>252305</v>
      </c>
      <c r="F77" s="160">
        <f>E77/E74</f>
        <v>0.19137095648691452</v>
      </c>
      <c r="H77" s="238">
        <f>Inputs!F93</f>
        <v>252305</v>
      </c>
      <c r="I77" s="160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59">
        <f>C78/$C$74</f>
        <v>4.6925281602255647E-4</v>
      </c>
      <c r="E78" s="180">
        <f>E74*F78</f>
        <v>618.66666666666663</v>
      </c>
      <c r="F78" s="160">
        <f>I78</f>
        <v>4.6925281602255647E-4</v>
      </c>
      <c r="H78" s="238">
        <f>Inputs!F97</f>
        <v>618.66666666666663</v>
      </c>
      <c r="I78" s="160">
        <f>H78/$H$74</f>
        <v>4.6925281602255647E-4</v>
      </c>
      <c r="K78" s="24"/>
    </row>
    <row r="79" spans="1:11" ht="15" customHeight="1" x14ac:dyDescent="0.4">
      <c r="B79" s="256" t="s">
        <v>232</v>
      </c>
      <c r="C79" s="257">
        <f>C76-C77-C78</f>
        <v>915160.33333333337</v>
      </c>
      <c r="D79" s="258">
        <f>C79/C74</f>
        <v>0.6941404582900994</v>
      </c>
      <c r="E79" s="259">
        <f>E76-E77-E78</f>
        <v>915160.33333333337</v>
      </c>
      <c r="F79" s="258">
        <f>E79/E74</f>
        <v>0.6941404582900994</v>
      </c>
      <c r="G79" s="260"/>
      <c r="H79" s="259">
        <f>H76-H77-H78</f>
        <v>915160.33333333337</v>
      </c>
      <c r="I79" s="258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59">
        <f>C81/$C$74</f>
        <v>0.49449639261897682</v>
      </c>
      <c r="E81" s="180">
        <f>E74*F81</f>
        <v>651948</v>
      </c>
      <c r="F81" s="160">
        <f>I81</f>
        <v>0.49449639261897682</v>
      </c>
      <c r="H81" s="238">
        <f>Inputs!F94</f>
        <v>651948</v>
      </c>
      <c r="I81" s="160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263212.33333333337</v>
      </c>
      <c r="D83" s="164">
        <f>C83/$C$74</f>
        <v>0.19964406567112258</v>
      </c>
      <c r="E83" s="165">
        <f>E79-E81-E82-E80</f>
        <v>263212.33333333337</v>
      </c>
      <c r="F83" s="164">
        <f>E83/E74</f>
        <v>0.19964406567112258</v>
      </c>
      <c r="H83" s="165">
        <f>H79-H81-H82-H80</f>
        <v>263212.33333333337</v>
      </c>
      <c r="I83" s="164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197409.25000000003</v>
      </c>
      <c r="D85" s="258">
        <f>C85/$C$74</f>
        <v>0.14973304925334194</v>
      </c>
      <c r="E85" s="264">
        <f>E83*(1-F84)</f>
        <v>197409.25000000003</v>
      </c>
      <c r="F85" s="258">
        <f>E85/E74</f>
        <v>0.14973304925334194</v>
      </c>
      <c r="G85" s="260"/>
      <c r="H85" s="264">
        <f>H83*(1-I84)</f>
        <v>197409.25000000003</v>
      </c>
      <c r="I85" s="258">
        <f>H85/$H$74</f>
        <v>0.14973304925334194</v>
      </c>
      <c r="K85" s="24"/>
    </row>
    <row r="86" spans="1:11" ht="15" customHeight="1" x14ac:dyDescent="0.4">
      <c r="B86" s="87" t="s">
        <v>160</v>
      </c>
      <c r="C86" s="167">
        <f>C85*Data!C4/Common_Shares</f>
        <v>0.5640537708797474</v>
      </c>
      <c r="D86" s="209"/>
      <c r="E86" s="168">
        <f>E85*Data!C4/Common_Shares</f>
        <v>0.5640537708797474</v>
      </c>
      <c r="F86" s="209"/>
      <c r="H86" s="168">
        <f>H85*Data!C4/Common_Shares</f>
        <v>0.5640537708797474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0.1455815028452572</v>
      </c>
      <c r="D87" s="209"/>
      <c r="E87" s="262">
        <f>E86*Exchange_Rate/Dashboard!G3</f>
        <v>0.1455815028452572</v>
      </c>
      <c r="F87" s="209"/>
      <c r="H87" s="262">
        <f>H86*Exchange_Rate/Dashboard!G3</f>
        <v>0.1455815028452572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0.3473</v>
      </c>
      <c r="D88" s="166">
        <f>C88/C86</f>
        <v>0.61572143992286532</v>
      </c>
      <c r="E88" s="170">
        <f>Inputs!E98</f>
        <v>0.23089999999999999</v>
      </c>
      <c r="F88" s="166">
        <f>E88/E86</f>
        <v>0.40935813555482176</v>
      </c>
      <c r="H88" s="170">
        <f>Inputs!F98</f>
        <v>0.23089999999999999</v>
      </c>
      <c r="I88" s="166">
        <f>H88/H86</f>
        <v>0.40935813555482176</v>
      </c>
      <c r="K88" s="24"/>
    </row>
    <row r="89" spans="1:11" ht="15" customHeight="1" x14ac:dyDescent="0.4">
      <c r="B89" s="87" t="s">
        <v>221</v>
      </c>
      <c r="C89" s="261">
        <f>C88*Exchange_Rate/Dashboard!G3</f>
        <v>8.9637652558016478E-2</v>
      </c>
      <c r="D89" s="209"/>
      <c r="E89" s="261">
        <f>E88*Exchange_Rate/Dashboard!G3</f>
        <v>5.959497257600347E-2</v>
      </c>
      <c r="F89" s="209"/>
      <c r="H89" s="261">
        <f>H88*Exchange_Rate/Dashboard!G3</f>
        <v>5.959497257600347E-2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19.702842411283875</v>
      </c>
      <c r="H93" s="87" t="s">
        <v>209</v>
      </c>
      <c r="I93" s="144">
        <f>FV(H87,D93,0,-(H86/(C93-D94)))*Exchange_Rate</f>
        <v>19.702842411283875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5.4601150216649152</v>
      </c>
      <c r="H94" s="87" t="s">
        <v>210</v>
      </c>
      <c r="I94" s="144">
        <f>FV(H89,D93,0,-(H88/(C93-D94)))*Exchange_Rate</f>
        <v>5.4601150216649152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3428362.006448816</v>
      </c>
      <c r="D97" s="213"/>
      <c r="E97" s="123">
        <f>PV(C94,D93,0,-F93)</f>
        <v>9.7957948661388023</v>
      </c>
      <c r="F97" s="213"/>
      <c r="H97" s="123">
        <f>PV(C94,D93,0,-I93)</f>
        <v>9.7957948661388023</v>
      </c>
      <c r="I97" s="123">
        <f>PV(C93,D93,0,-I93)</f>
        <v>13.378426211841004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3428362.006448816</v>
      </c>
      <c r="D100" s="109">
        <f>MIN(F100*(1-C94),E100)</f>
        <v>8.3264256362179818</v>
      </c>
      <c r="E100" s="109">
        <f>MAX(E97-H98+E99,0)</f>
        <v>9.7957948661388023</v>
      </c>
      <c r="F100" s="109">
        <f>(E100+H100)/2</f>
        <v>9.7957948661388023</v>
      </c>
      <c r="H100" s="109">
        <f>MAX(C100*Data!$C$4/Common_Shares,0)</f>
        <v>9.7957948661388023</v>
      </c>
      <c r="I100" s="109">
        <f>MAX(I97-H98+H99,0)</f>
        <v>13.378426211841004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950078.69932491973</v>
      </c>
      <c r="D103" s="109">
        <f>MIN(F103*(1-C94),E103)</f>
        <v>2.3074458367008366</v>
      </c>
      <c r="E103" s="123">
        <f>PV(C94,D93,0,-F94)</f>
        <v>2.7146421608245137</v>
      </c>
      <c r="F103" s="109">
        <f>(E103+H103)/2</f>
        <v>2.7146421608245137</v>
      </c>
      <c r="H103" s="123">
        <f>PV(C94,D93,0,-I94)</f>
        <v>2.7146421608245137</v>
      </c>
      <c r="I103" s="109">
        <f>PV(C93,D93,0,-I94)</f>
        <v>3.7074724753253903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2189220.3528868677</v>
      </c>
      <c r="D106" s="109">
        <f>(D100+D103)/2</f>
        <v>5.316935736459409</v>
      </c>
      <c r="E106" s="123">
        <f>(E100+E103)/2</f>
        <v>6.2552185134816582</v>
      </c>
      <c r="F106" s="109">
        <f>(F100+F103)/2</f>
        <v>6.2552185134816582</v>
      </c>
      <c r="H106" s="123">
        <f>(H100+H103)/2</f>
        <v>6.2552185134816582</v>
      </c>
      <c r="I106" s="123">
        <f>(I100+I103)/2</f>
        <v>8.5429493435831976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