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AAED2A4-8EF8-438A-A6D1-78B2CD4C48D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C72" i="4"/>
  <c r="D69" i="4"/>
  <c r="D68" i="4"/>
  <c r="C68" i="4"/>
  <c r="D67" i="4"/>
  <c r="C66" i="4"/>
  <c r="C65" i="4"/>
  <c r="D62" i="4"/>
  <c r="D63" i="4" s="1"/>
  <c r="D61" i="4"/>
  <c r="D60" i="4"/>
  <c r="C60" i="4"/>
  <c r="D59" i="4"/>
  <c r="D58" i="4"/>
  <c r="D71" i="4" s="1"/>
  <c r="D56" i="4"/>
  <c r="D55" i="4"/>
  <c r="C55" i="4"/>
  <c r="D50" i="4"/>
  <c r="D53" i="4" s="1"/>
  <c r="C48" i="4"/>
  <c r="D44" i="4"/>
  <c r="C44" i="4"/>
  <c r="D27" i="4"/>
  <c r="C27" i="4"/>
  <c r="D26" i="4"/>
  <c r="C2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<sst xmlns="http://schemas.openxmlformats.org/spreadsheetml/2006/main" count="390" uniqueCount="270">
  <si>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</si>
  <si>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</si>
  <si>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</si>
  <si>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</si>
  <si>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</si>
  <si>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</si>
  <si>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</si>
  <si>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</si>
  <si>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</si>
  <si>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</si>
  <si>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</si>
  <si>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</si>
  <si>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</si>
  <si>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</si>
  <si>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</si>
  <si>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</si>
  <si>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</si>
  <si>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</si>
  <si>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</si>
  <si>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</si>
  <si>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</si>
  <si>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</si>
  <si>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</si>
  <si>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</si>
  <si>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</si>
  <si>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</si>
  <si>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</si>
  <si>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</si>
  <si>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</si>
  <si>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</si>
  <si>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</si>
  <si>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</si>
  <si>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</si>
  <si>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</si>
  <si>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</si>
  <si>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</si>
  <si>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</si>
  <si>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</si>
  <si>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</si>
  <si>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</si>
  <si>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</si>
  <si>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</si>
  <si>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</si>
  <si>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</si>
  <si>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</si>
  <si>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</si>
  <si>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</si>
  <si>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</si>
  <si>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</si>
  <si>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</si>
  <si>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</si>
  <si>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</si>
  <si>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</si>
  <si>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</si>
  <si>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</si>
  <si>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</si>
  <si>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</si>
  <si>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</si>
  <si>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</si>
  <si>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</si>
  <si>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</si>
  <si>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</si>
  <si>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</si>
  <si>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</si>
  <si>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</si>
  <si>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</si>
  <si>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</si>
  <si>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</si>
  <si>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</si>
  <si>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</si>
  <si>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</si>
  <si>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</si>
  <si>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</si>
  <si>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</si>
  <si>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</si>
  <si>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</si>
  <si>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</si>
  <si>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</si>
  <si>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</si>
  <si>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</si>
  <si>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</si>
  <si>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</si>
  <si>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</si>
  <si>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</si>
  <si>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</si>
  <si>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</si>
  <si>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</si>
  <si>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</si>
  <si>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</si>
  <si>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</si>
  <si>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</si>
  <si>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</si>
  <si>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</si>
  <si>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</si>
  <si>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</si>
  <si>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</si>
  <si>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</si>
  <si>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</si>
  <si>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</si>
  <si>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</si>
  <si>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</si>
  <si>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</si>
  <si>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</si>
  <si>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</si>
  <si>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</si>
  <si>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</si>
  <si>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</si>
  <si>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</si>
  <si>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</si>
  <si>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</si>
  <si>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</si>
  <si>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</si>
  <si>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</si>
  <si>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</si>
  <si>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</si>
  <si>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</si>
  <si>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</si>
  <si>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</si>
  <si>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</si>
  <si>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</si>
  <si>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</si>
  <si>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</si>
  <si>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</si>
  <si>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</si>
  <si>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</si>
  <si>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</si>
  <si>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</si>
  <si>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</si>
  <si>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</si>
  <si>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</si>
  <si>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</si>
  <si>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</si>
  <si>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</si>
  <si>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</si>
  <si>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</si>
  <si>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</si>
  <si>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</si>
  <si>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</si>
  <si>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</si>
  <si>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</si>
  <si>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</si>
  <si>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</si>
  <si>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</si>
  <si>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</si>
  <si>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</si>
  <si>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</si>
  <si>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</si>
  <si>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</si>
  <si>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</si>
  <si>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</si>
  <si>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</si>
  <si>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</si>
  <si>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</si>
  <si>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</si>
  <si>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</si>
  <si>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</si>
  <si>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</si>
  <si>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</si>
  <si>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</si>
  <si>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</si>
  <si>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</si>
  <si>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</si>
  <si>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</si>
  <si>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</si>
  <si>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</si>
  <si>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</si>
  <si>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</si>
  <si>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</si>
  <si>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</si>
  <si>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</si>
  <si>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</si>
  <si>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</si>
  <si>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</si>
  <si>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</si>
  <si>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</si>
  <si>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</si>
  <si>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</si>
  <si>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</si>
  <si>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</si>
  <si>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</si>
  <si>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</si>
  <si>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</si>
  <si>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</si>
  <si>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</si>
  <si>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</si>
  <si>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</si>
  <si>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</si>
  <si>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</si>
  <si>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</si>
  <si>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</si>
  <si>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</si>
  <si>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</si>
  <si>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</si>
  <si>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</si>
  <si>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</si>
  <si>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</si>
  <si>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</si>
  <si>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</si>
  <si>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</si>
  <si>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</si>
  <si>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</si>
  <si>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</si>
  <si>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</si>
  <si>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</si>
  <si>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</si>
  <si>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</si>
  <si>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</si>
  <si>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</si>
  <si>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</si>
  <si>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</si>
  <si>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</si>
  <si>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</si>
  <si>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</si>
  <si>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</si>
  <si>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</si>
  <si>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</si>
  <si>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</si>
  <si>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</si>
  <si>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</si>
  <si>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</si>
  <si>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</si>
  <si>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</si>
  <si>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</si>
  <si>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</si>
  <si>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</si>
  <si>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</si>
  <si>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</si>
  <si>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</si>
  <si>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</si>
  <si>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</si>
  <si>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</si>
  <si>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</si>
  <si>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</si>
  <si>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</si>
  <si>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</si>
  <si>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</si>
  <si>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</si>
  <si>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</si>
  <si>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</si>
  <si>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</si>
  <si>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</si>
  <si>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</si>
  <si>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</si>
  <si>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</si>
  <si>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</si>
  <si>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</si>
  <si>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</si>
  <si>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</si>
  <si>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</si>
  <si>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</si>
  <si>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</si>
  <si>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</si>
  <si>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</si>
  <si>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</si>
  <si>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</si>
  <si>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</si>
  <si>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</si>
  <si>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</si>
  <si>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</si>
  <si>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</si>
  <si>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</si>
  <si>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</si>
  <si>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</si>
  <si>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</si>
  <si>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1448.HK</t>
  </si>
  <si>
    <t>福壽園</t>
  </si>
  <si>
    <t>Tier 3</t>
  </si>
  <si>
    <t>C0015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</si>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</sst>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0.33505756595532243</c:v>
                </c:pt>
                <c:pt idx="1">
                  <c:v>0.14727310847787448</c:v>
                </c:pt>
                <c:pt idx="2">
                  <c:v>9.3695566779006881E-2</c:v>
                </c:pt>
                <c:pt idx="3">
                  <c:v>0</c:v>
                </c:pt>
                <c:pt idx="4">
                  <c:v>2.8127543493622026E-3</c:v>
                </c:pt>
                <c:pt idx="5">
                  <c:v>0</c:v>
                </c:pt>
                <c:pt idx="6">
                  <c:v>0.42116100443843402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2319863422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2628029</v>
      </c>
      <c r="D25" s="149">
        <v>2171626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f>506360+123086+188935+62160</f>
        <v>880541</v>
      </c>
      <c r="D26" s="150">
        <f>463624+123266+162065+55417</f>
        <v>804372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48899+166609+171530</f>
        <v>387038</v>
      </c>
      <c r="D27" s="150">
        <f>43155+155953+153616</f>
        <v>352724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7392</v>
      </c>
      <c r="D29" s="150">
        <v>5008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184676</v>
      </c>
      <c r="D30" s="150">
        <v>152133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0.0686+0.0906+0.2139</f>
        <v>0.37309999999999999</v>
      </c>
      <c r="D44" s="250">
        <f>0.0758+0.0564</f>
        <v>0.13220000000000001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0.10117237415796593</v>
      </c>
      <c r="D45" s="152">
        <f>IF(D44="","",D44*Exchange_Rate/Dashboard!$G$3)</f>
        <v>3.5848265515098093E-2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267255+2247155</f>
        <v>2514410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170507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890582</v>
      </c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>
        <v>14672</v>
      </c>
      <c r="D54" s="60">
        <v>0.1</v>
      </c>
      <c r="E54" s="112"/>
    </row>
    <row r="55" spans="2:5" ht="13.9" x14ac:dyDescent="0.4">
      <c r="B55" s="3" t="s">
        <v>46</v>
      </c>
      <c r="C55" s="59">
        <f>566307+91401</f>
        <v>657708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f>204633+92615</f>
        <v>297248</v>
      </c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>
        <v>21963</v>
      </c>
      <c r="D64" s="60">
        <v>0.4</v>
      </c>
      <c r="E64" s="112"/>
    </row>
    <row r="65" spans="2:5" ht="13.9" x14ac:dyDescent="0.4">
      <c r="B65" s="3" t="s">
        <v>69</v>
      </c>
      <c r="C65" s="59">
        <f>3000+44523</f>
        <v>47523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f>6509+2031204</f>
        <v>2037713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538274+108026</f>
        <v>646300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306381</v>
      </c>
      <c r="D70" s="60">
        <v>0.05</v>
      </c>
      <c r="E70" s="112"/>
    </row>
    <row r="71" spans="2:5" ht="13.9" x14ac:dyDescent="0.4">
      <c r="B71" s="3" t="s">
        <v>74</v>
      </c>
      <c r="C71" s="59">
        <v>99594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f>1091455+12772</f>
        <v>1104227</v>
      </c>
      <c r="D72" s="248">
        <v>0</v>
      </c>
      <c r="E72" s="249"/>
    </row>
    <row r="73" spans="2:5" ht="13.9" x14ac:dyDescent="0.4">
      <c r="B73" s="3" t="s">
        <v>38</v>
      </c>
      <c r="C73" s="59">
        <v>200000</v>
      </c>
    </row>
    <row r="74" spans="2:5" ht="13.9" x14ac:dyDescent="0.4">
      <c r="B74" s="3" t="s">
        <v>39</v>
      </c>
      <c r="C74" s="59">
        <v>22844</v>
      </c>
    </row>
    <row r="75" spans="2:5" ht="13.9" x14ac:dyDescent="0.4">
      <c r="B75" s="3" t="s">
        <v>40</v>
      </c>
      <c r="C75" s="59">
        <v>29863</v>
      </c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1148286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31686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881357</v>
      </c>
    </row>
    <row r="83" spans="2:8" ht="14.25" thickTop="1" x14ac:dyDescent="0.4">
      <c r="B83" s="73" t="s">
        <v>220</v>
      </c>
      <c r="C83" s="59">
        <v>6069865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2628029</v>
      </c>
      <c r="D91" s="209"/>
      <c r="E91" s="251">
        <f>C91</f>
        <v>2628029</v>
      </c>
      <c r="F91" s="251">
        <f>C91</f>
        <v>2628029</v>
      </c>
    </row>
    <row r="92" spans="2:8" ht="13.9" x14ac:dyDescent="0.4">
      <c r="B92" s="104" t="s">
        <v>105</v>
      </c>
      <c r="C92" s="77">
        <f>C26</f>
        <v>880541</v>
      </c>
      <c r="D92" s="159">
        <f>C92/C91</f>
        <v>0.33505756595532243</v>
      </c>
      <c r="E92" s="252">
        <f>E91*D92</f>
        <v>880541.00000000012</v>
      </c>
      <c r="F92" s="252">
        <f>F91*D92</f>
        <v>880541.00000000012</v>
      </c>
    </row>
    <row r="93" spans="2:8" ht="13.9" x14ac:dyDescent="0.4">
      <c r="B93" s="104" t="s">
        <v>247</v>
      </c>
      <c r="C93" s="77">
        <f>C27+C28</f>
        <v>387038</v>
      </c>
      <c r="D93" s="159">
        <f>C93/C91</f>
        <v>0.14727310847787448</v>
      </c>
      <c r="E93" s="252">
        <f>E91*D93</f>
        <v>387038</v>
      </c>
      <c r="F93" s="252">
        <f>F91*D93</f>
        <v>387038</v>
      </c>
    </row>
    <row r="94" spans="2:8" ht="13.9" x14ac:dyDescent="0.4">
      <c r="B94" s="104" t="s">
        <v>257</v>
      </c>
      <c r="C94" s="77">
        <f>C29</f>
        <v>7392</v>
      </c>
      <c r="D94" s="159">
        <f>C94/C91</f>
        <v>2.8127543493622026E-3</v>
      </c>
      <c r="E94" s="253"/>
      <c r="F94" s="252">
        <f>F91*D94</f>
        <v>7392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246234.66666666666</v>
      </c>
      <c r="D97" s="159">
        <f>C97/C91</f>
        <v>9.3695566779006881E-2</v>
      </c>
      <c r="E97" s="253"/>
      <c r="F97" s="252">
        <f>F91*D97</f>
        <v>246234.66666666669</v>
      </c>
    </row>
    <row r="98" spans="2:7" ht="13.9" x14ac:dyDescent="0.4">
      <c r="B98" s="86" t="s">
        <v>207</v>
      </c>
      <c r="C98" s="237">
        <f>C44</f>
        <v>0.37309999999999999</v>
      </c>
      <c r="D98" s="266"/>
      <c r="E98" s="254">
        <f>F98</f>
        <v>0.15920000000000001</v>
      </c>
      <c r="F98" s="254">
        <f>0.0686+0.0906</f>
        <v>0.15920000000000001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1448.HK : 福壽園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1448.HK</v>
      </c>
      <c r="D3" s="278"/>
      <c r="E3" s="87"/>
      <c r="F3" s="3" t="s">
        <v>1</v>
      </c>
      <c r="G3" s="132">
        <v>3.95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福壽園</v>
      </c>
      <c r="D4" s="280"/>
      <c r="E4" s="87"/>
      <c r="F4" s="3" t="s">
        <v>2</v>
      </c>
      <c r="G4" s="283">
        <f>Inputs!C10</f>
        <v>2319863422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45637</v>
      </c>
      <c r="D5" s="282"/>
      <c r="E5" s="34"/>
      <c r="F5" s="35" t="s">
        <v>99</v>
      </c>
      <c r="G5" s="275">
        <f>G3*G4/1000000</f>
        <v>9163.4605168999988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C0015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0.33505756595532243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0.14727310847787448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9.3695566779006881E-2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1.2619676995619167</v>
      </c>
    </row>
    <row r="24" spans="1:8" ht="15.75" customHeight="1" x14ac:dyDescent="0.4">
      <c r="B24" s="137" t="s">
        <v>170</v>
      </c>
      <c r="C24" s="171">
        <f>Fin_Analysis!I81</f>
        <v>2.8127543493622026E-3</v>
      </c>
      <c r="F24" s="140" t="s">
        <v>260</v>
      </c>
      <c r="G24" s="268">
        <f>G3/(Fin_Analysis!H86*G7)</f>
        <v>10.305905488505728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0.44490359109692307</v>
      </c>
    </row>
    <row r="26" spans="1:8" ht="15.75" customHeight="1" x14ac:dyDescent="0.4">
      <c r="B26" s="138" t="s">
        <v>173</v>
      </c>
      <c r="C26" s="171">
        <f>Fin_Analysis!I83</f>
        <v>0.42116100443843402</v>
      </c>
      <c r="F26" s="141" t="s">
        <v>193</v>
      </c>
      <c r="G26" s="178">
        <f>Fin_Analysis!H88*Exchange_Rate/G3</f>
        <v>4.3169772087773194E-2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4.5526971208253002</v>
      </c>
      <c r="D29" s="129">
        <f>G29*(1+G20)</f>
        <v>8.3357095130863925</v>
      </c>
      <c r="E29" s="87"/>
      <c r="F29" s="131">
        <f>IF(Fin_Analysis!C108="Profit",Fin_Analysis!F100,IF(Fin_Analysis!C108="Dividend",Fin_Analysis!F103,Fin_Analysis!F106))</f>
        <v>5.3561142597944711</v>
      </c>
      <c r="G29" s="274">
        <f>IF(Fin_Analysis!C108="Profit",Fin_Analysis!I100,IF(Fin_Analysis!C108="Dividend",Fin_Analysis!I103,Fin_Analysis!I106))</f>
        <v>7.2484430548577334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1114215.3333333333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2628029</v>
      </c>
      <c r="D6" s="200">
        <f>IF(Inputs!D25="","",Inputs!D25)</f>
        <v>2171626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0.21016648354735112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880541</v>
      </c>
      <c r="D8" s="199">
        <f>IF(Inputs!D26="","",Inputs!D26)</f>
        <v>804372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1747488</v>
      </c>
      <c r="D9" s="151">
        <f t="shared" si="2"/>
        <v>1367254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387038</v>
      </c>
      <c r="D10" s="199">
        <f>IF(Inputs!D27="","",Inputs!D27)</f>
        <v>352724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246234.66666666666</v>
      </c>
      <c r="D12" s="199">
        <f>IF(Inputs!D30="","",MAX(Inputs!D30,0)/(1-Fin_Analysis!$I$84))</f>
        <v>202844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0.4239737587877962</v>
      </c>
      <c r="D13" s="229">
        <f t="shared" si="3"/>
        <v>0.37376877970700295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1114215.3333333333</v>
      </c>
      <c r="D14" s="230">
        <f t="shared" ref="D14:M14" si="4">IF(D6="","",D9-D10-MAX(D11,0)-MAX(D12,0))</f>
        <v>811686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0.37271720016525262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7392</v>
      </c>
      <c r="D17" s="199">
        <f>IF(Inputs!D29="","",Inputs!D29)</f>
        <v>5008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1106823.3333333333</v>
      </c>
      <c r="D22" s="161">
        <f t="shared" ref="D22:M22" si="8">IF(D6="","",D14-MAX(D16,0)-MAX(D17,0)-ABS(MAX(D21,0)-MAX(D19,0)))</f>
        <v>806678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0.31587075332882553</v>
      </c>
      <c r="D23" s="153">
        <f t="shared" si="9"/>
        <v>0.27859700519334363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830117.5</v>
      </c>
      <c r="D24" s="77">
        <f>IF(D6="","",D22*(1-Fin_Analysis!$I$84))</f>
        <v>605008.5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0.37207576422480015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8808828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4247879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170507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657708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1148286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881357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252707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31686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284393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6779185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709320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5787476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3021352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0.36878037823243809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0.33505756595532243</v>
      </c>
      <c r="D42" s="156">
        <f t="shared" si="34"/>
        <v>0.37040079645390134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0.14727310847787448</v>
      </c>
      <c r="D43" s="153">
        <f t="shared" si="35"/>
        <v>0.16242391645706949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2.8127543493622026E-3</v>
      </c>
      <c r="D45" s="153">
        <f t="shared" si="37"/>
        <v>2.3061061158781483E-3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9.3695566779006881E-2</v>
      </c>
      <c r="D46" s="153">
        <f t="shared" ref="D46:M46" si="38">IF(D6="","",MAX(D12,0)/D6)</f>
        <v>9.3406507382026188E-2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0.42116100443843402</v>
      </c>
      <c r="D48" s="153">
        <f t="shared" si="40"/>
        <v>0.37146267359112478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6.4880182068006095E-2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0.25026664469836518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0.23041010677016285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3.8918796641736373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6.6785726117085838E-3</v>
      </c>
      <c r="D55" s="153">
        <f t="shared" si="45"/>
        <v>6.2081772404850508E-3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3.6993214234084539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6779185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6069865</v>
      </c>
      <c r="K3" s="24"/>
    </row>
    <row r="4" spans="1:11" ht="15" customHeight="1" x14ac:dyDescent="0.4">
      <c r="B4" s="3" t="s">
        <v>24</v>
      </c>
      <c r="C4" s="87"/>
      <c r="D4" s="65">
        <f>D3-I3</f>
        <v>709320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3.6993214234084539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959526.93540446181</v>
      </c>
      <c r="E6" s="56">
        <f>1-D6/D3</f>
        <v>0.85845983913929746</v>
      </c>
      <c r="F6" s="87"/>
      <c r="G6" s="87"/>
      <c r="H6" s="1" t="s">
        <v>29</v>
      </c>
      <c r="I6" s="63">
        <f>(C24+C25)/I28</f>
        <v>3.1265477415905099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0.44302531324205613</v>
      </c>
      <c r="E7" s="11" t="str">
        <f>Dashboard!H3</f>
        <v>HKD</v>
      </c>
      <c r="H7" s="1" t="s">
        <v>30</v>
      </c>
      <c r="I7" s="63">
        <f>C24/I28</f>
        <v>3.1137704369817274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2514410</v>
      </c>
      <c r="D11" s="198">
        <f>Inputs!D48</f>
        <v>0.9</v>
      </c>
      <c r="E11" s="88">
        <f t="shared" ref="E11:E22" si="0">C11*D11</f>
        <v>2262969</v>
      </c>
      <c r="F11" s="112"/>
      <c r="G11" s="87"/>
      <c r="H11" s="3" t="s">
        <v>38</v>
      </c>
      <c r="I11" s="40">
        <f>Inputs!C73</f>
        <v>200000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22844</v>
      </c>
      <c r="J12" s="87"/>
      <c r="K12" s="24"/>
    </row>
    <row r="13" spans="1:11" ht="13.9" x14ac:dyDescent="0.4">
      <c r="B13" s="3" t="s">
        <v>116</v>
      </c>
      <c r="C13" s="40">
        <f>Inputs!C50</f>
        <v>170507</v>
      </c>
      <c r="D13" s="198">
        <f>Inputs!D50</f>
        <v>0.6</v>
      </c>
      <c r="E13" s="88">
        <f t="shared" si="0"/>
        <v>102304.2</v>
      </c>
      <c r="F13" s="112"/>
      <c r="G13" s="87"/>
      <c r="H13" s="3" t="s">
        <v>40</v>
      </c>
      <c r="I13" s="40">
        <f>Inputs!C75</f>
        <v>29863</v>
      </c>
      <c r="J13" s="87"/>
      <c r="K13" s="26"/>
    </row>
    <row r="14" spans="1:11" ht="13.9" x14ac:dyDescent="0.4">
      <c r="B14" s="3" t="s">
        <v>41</v>
      </c>
      <c r="C14" s="40">
        <f>Inputs!C51</f>
        <v>890582</v>
      </c>
      <c r="D14" s="198">
        <f>Inputs!D51</f>
        <v>0.6</v>
      </c>
      <c r="E14" s="88">
        <f t="shared" si="0"/>
        <v>534349.19999999995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252707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14672</v>
      </c>
      <c r="D17" s="198">
        <f>Inputs!D54</f>
        <v>0.1</v>
      </c>
      <c r="E17" s="88">
        <f t="shared" si="0"/>
        <v>1467.2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657708</v>
      </c>
      <c r="D18" s="198">
        <f>Inputs!D55</f>
        <v>0.5</v>
      </c>
      <c r="E18" s="88">
        <f t="shared" si="0"/>
        <v>328854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895579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3575499</v>
      </c>
      <c r="D24" s="62">
        <f>IF(E24=0,0,E24/C24)</f>
        <v>0.81096999327925989</v>
      </c>
      <c r="E24" s="88">
        <f>SUM(E11:E14)</f>
        <v>2899622.4000000004</v>
      </c>
      <c r="F24" s="113">
        <f>E24/$E$28</f>
        <v>0.89773158887356419</v>
      </c>
      <c r="G24" s="87"/>
    </row>
    <row r="25" spans="2:10" ht="15" customHeight="1" x14ac:dyDescent="0.4">
      <c r="B25" s="23" t="s">
        <v>54</v>
      </c>
      <c r="C25" s="61">
        <f>SUM(C15:C17)</f>
        <v>14672</v>
      </c>
      <c r="D25" s="62">
        <f>IF(E25=0,0,E25/C25)</f>
        <v>0.1</v>
      </c>
      <c r="E25" s="88">
        <f>SUM(E15:E17)</f>
        <v>1467.2</v>
      </c>
      <c r="F25" s="113">
        <f>E25/$E$28</f>
        <v>4.54249417853612E-4</v>
      </c>
      <c r="G25" s="87"/>
      <c r="H25" s="23" t="s">
        <v>55</v>
      </c>
      <c r="I25" s="63">
        <f>E28/I28</f>
        <v>2.8128389617220804</v>
      </c>
    </row>
    <row r="26" spans="2:10" ht="15" customHeight="1" x14ac:dyDescent="0.4">
      <c r="B26" s="23" t="s">
        <v>56</v>
      </c>
      <c r="C26" s="61">
        <f>C18+C19+C20</f>
        <v>657708</v>
      </c>
      <c r="D26" s="62">
        <f>IF(E26=0,0,E26/C26)</f>
        <v>0.5</v>
      </c>
      <c r="E26" s="88">
        <f>E18+E19+E20</f>
        <v>328854</v>
      </c>
      <c r="F26" s="113">
        <f>E26/$E$28</f>
        <v>0.10181416170858214</v>
      </c>
      <c r="G26" s="87"/>
      <c r="H26" s="23" t="s">
        <v>57</v>
      </c>
      <c r="I26" s="63">
        <f>E24/($I$28-I22)</f>
        <v>11.474246459338287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2.5264521208131079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4247879</v>
      </c>
      <c r="D28" s="57">
        <f>E28/C28</f>
        <v>0.76036619687142704</v>
      </c>
      <c r="E28" s="70">
        <f>SUM(E24:E27)</f>
        <v>3229943.6000000006</v>
      </c>
      <c r="F28" s="112"/>
      <c r="G28" s="87"/>
      <c r="H28" s="78" t="s">
        <v>15</v>
      </c>
      <c r="I28" s="206">
        <f>Inputs!C77</f>
        <v>1148286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297248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31686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21963</v>
      </c>
      <c r="D34" s="198">
        <f>Inputs!D64</f>
        <v>0.4</v>
      </c>
      <c r="E34" s="88">
        <f t="shared" si="1"/>
        <v>8785.2000000000007</v>
      </c>
      <c r="F34" s="112"/>
      <c r="G34" s="87"/>
      <c r="H34" s="1" t="s">
        <v>77</v>
      </c>
      <c r="I34" s="84">
        <f>SUM(I30:I33)</f>
        <v>31686</v>
      </c>
      <c r="J34" s="87"/>
    </row>
    <row r="35" spans="2:10" ht="13.9" x14ac:dyDescent="0.4">
      <c r="B35" s="3" t="s">
        <v>69</v>
      </c>
      <c r="C35" s="40">
        <f>Inputs!C65</f>
        <v>47523</v>
      </c>
      <c r="D35" s="198">
        <f>Inputs!D65</f>
        <v>0.1</v>
      </c>
      <c r="E35" s="88">
        <f t="shared" si="1"/>
        <v>4752.3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2037713</v>
      </c>
      <c r="D36" s="198">
        <f>Inputs!D66</f>
        <v>0.2</v>
      </c>
      <c r="E36" s="88">
        <f t="shared" si="1"/>
        <v>407542.60000000003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646300</v>
      </c>
      <c r="D38" s="198">
        <f>Inputs!D68</f>
        <v>0.1</v>
      </c>
      <c r="E38" s="88">
        <f t="shared" si="1"/>
        <v>64630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306381</v>
      </c>
      <c r="D40" s="198">
        <f>Inputs!D70</f>
        <v>0.05</v>
      </c>
      <c r="E40" s="88">
        <f t="shared" si="1"/>
        <v>15319.050000000001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99594</v>
      </c>
      <c r="D41" s="198">
        <f>Inputs!D71</f>
        <v>0.9</v>
      </c>
      <c r="E41" s="88">
        <f t="shared" si="1"/>
        <v>89634.6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1104227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849671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297248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69486</v>
      </c>
      <c r="D45" s="62">
        <f>IF(E45=0,0,E45/C45)</f>
        <v>0.19482341766686814</v>
      </c>
      <c r="E45" s="88">
        <f>SUM(E32:E35)</f>
        <v>13537.5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2684013</v>
      </c>
      <c r="D46" s="62">
        <f>IF(E46=0,0,E46/C46)</f>
        <v>0.17592038488636233</v>
      </c>
      <c r="E46" s="88">
        <f>E36+E37+E38+E39</f>
        <v>472172.60000000003</v>
      </c>
      <c r="F46" s="87"/>
      <c r="G46" s="87"/>
      <c r="H46" s="23" t="s">
        <v>80</v>
      </c>
      <c r="I46" s="63">
        <f>(E44+E24)/E64</f>
        <v>10.195829011262585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1510202</v>
      </c>
      <c r="D47" s="62">
        <f>IF(E47=0,0,E47/C47)</f>
        <v>6.949643160318951E-2</v>
      </c>
      <c r="E47" s="88">
        <f>E40+E41+E42</f>
        <v>104953.65000000001</v>
      </c>
      <c r="F47" s="87"/>
      <c r="G47" s="87"/>
      <c r="H47" s="23" t="s">
        <v>82</v>
      </c>
      <c r="I47" s="63">
        <f>(E44+E45+E24+E25)/$I$49</f>
        <v>1.4360294396600783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4560949</v>
      </c>
      <c r="D48" s="82">
        <f>E48/C48</f>
        <v>0.12950457240368177</v>
      </c>
      <c r="E48" s="76">
        <f>SUM(E30:E42)</f>
        <v>590663.75</v>
      </c>
      <c r="F48" s="87"/>
      <c r="G48" s="87"/>
      <c r="H48" s="80" t="s">
        <v>84</v>
      </c>
      <c r="I48" s="207">
        <f>Inputs!C82</f>
        <v>881357</v>
      </c>
      <c r="J48" s="8"/>
    </row>
    <row r="49" spans="2:11" ht="15" customHeight="1" thickTop="1" x14ac:dyDescent="0.4">
      <c r="B49" s="3" t="s">
        <v>13</v>
      </c>
      <c r="C49" s="61">
        <f>C28+C48</f>
        <v>8808828</v>
      </c>
      <c r="D49" s="56">
        <f>E49/C49</f>
        <v>0.43372482128155987</v>
      </c>
      <c r="E49" s="88">
        <f>E28+E48</f>
        <v>3820607.3500000006</v>
      </c>
      <c r="F49" s="87"/>
      <c r="G49" s="87"/>
      <c r="H49" s="3" t="s">
        <v>85</v>
      </c>
      <c r="I49" s="52">
        <f>I28+I48</f>
        <v>2029643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709320</v>
      </c>
      <c r="D53" s="29">
        <f>IF(E53=0, 0,E53/C53)</f>
        <v>1.2619676995619167</v>
      </c>
      <c r="E53" s="88">
        <f>IF(C53=0,0,MAX(C53,C53*Dashboard!G23))</f>
        <v>895138.92865325871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284393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2975818</v>
      </c>
      <c r="D61" s="56">
        <f t="shared" ref="D61:D70" si="2">IF(E61=0,0,E61/C61)</f>
        <v>0.31811222998180672</v>
      </c>
      <c r="E61" s="52">
        <f>E14+E15+(E19*G19)+(E20*G20)+E31+E32+(E35*G35)+(E36*G36)+(E37*G37)</f>
        <v>946644.10000000009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2811658</v>
      </c>
      <c r="D62" s="107">
        <f t="shared" si="2"/>
        <v>0.80485215484955852</v>
      </c>
      <c r="E62" s="118">
        <f>E11+E30</f>
        <v>2262969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5787476</v>
      </c>
      <c r="D63" s="29">
        <f t="shared" si="2"/>
        <v>0.55457907730416511</v>
      </c>
      <c r="E63" s="61">
        <f>E61+E62</f>
        <v>3209613.1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284393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5503083</v>
      </c>
      <c r="D65" s="29">
        <f t="shared" si="2"/>
        <v>0.53156023632571048</v>
      </c>
      <c r="E65" s="61">
        <f>E63-E64</f>
        <v>2925220.1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3021352</v>
      </c>
      <c r="D68" s="29">
        <f t="shared" si="2"/>
        <v>0.20222544410581769</v>
      </c>
      <c r="E68" s="68">
        <f>E49-E63</f>
        <v>610994.25000000047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1745250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1276102</v>
      </c>
      <c r="D70" s="29">
        <f t="shared" si="2"/>
        <v>-0.88884411277468378</v>
      </c>
      <c r="E70" s="68">
        <f>E68-E69</f>
        <v>-1134255.7499999995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2628029</v>
      </c>
      <c r="D74" s="209"/>
      <c r="E74" s="238">
        <f>Inputs!E91</f>
        <v>2628029</v>
      </c>
      <c r="F74" s="209"/>
      <c r="H74" s="238">
        <f>Inputs!F91</f>
        <v>2628029</v>
      </c>
      <c r="I74" s="209"/>
      <c r="K74" s="24"/>
    </row>
    <row r="75" spans="1:11" ht="15" customHeight="1" x14ac:dyDescent="0.4">
      <c r="B75" s="104" t="s">
        <v>105</v>
      </c>
      <c r="C75" s="77">
        <f>Data!C8</f>
        <v>880541</v>
      </c>
      <c r="D75" s="159">
        <f>C75/$C$74</f>
        <v>0.33505756595532243</v>
      </c>
      <c r="E75" s="238">
        <f>Inputs!E92</f>
        <v>880541.00000000012</v>
      </c>
      <c r="F75" s="160">
        <f>E75/E74</f>
        <v>0.33505756595532243</v>
      </c>
      <c r="H75" s="238">
        <f>Inputs!F92</f>
        <v>880541.00000000012</v>
      </c>
      <c r="I75" s="160">
        <f>H75/$H$74</f>
        <v>0.33505756595532243</v>
      </c>
      <c r="K75" s="24"/>
    </row>
    <row r="76" spans="1:11" ht="15" customHeight="1" x14ac:dyDescent="0.4">
      <c r="B76" s="35" t="s">
        <v>95</v>
      </c>
      <c r="C76" s="161">
        <f>C74-C75</f>
        <v>1747488</v>
      </c>
      <c r="D76" s="210"/>
      <c r="E76" s="162">
        <f>E74-E75</f>
        <v>1747488</v>
      </c>
      <c r="F76" s="210"/>
      <c r="H76" s="162">
        <f>H74-H75</f>
        <v>1747488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387038</v>
      </c>
      <c r="D77" s="159">
        <f>C77/$C$74</f>
        <v>0.14727310847787448</v>
      </c>
      <c r="E77" s="238">
        <f>Inputs!E93</f>
        <v>387038</v>
      </c>
      <c r="F77" s="160">
        <f>E77/E74</f>
        <v>0.14727310847787448</v>
      </c>
      <c r="H77" s="238">
        <f>Inputs!F93</f>
        <v>387038</v>
      </c>
      <c r="I77" s="160">
        <f>H77/$H$74</f>
        <v>0.14727310847787448</v>
      </c>
      <c r="K77" s="24"/>
    </row>
    <row r="78" spans="1:11" ht="15" customHeight="1" x14ac:dyDescent="0.4">
      <c r="B78" s="73" t="s">
        <v>172</v>
      </c>
      <c r="C78" s="77">
        <f>MAX(Data!C12,0)</f>
        <v>246234.66666666666</v>
      </c>
      <c r="D78" s="159">
        <f>C78/$C$74</f>
        <v>9.3695566779006881E-2</v>
      </c>
      <c r="E78" s="180">
        <f>E74*F78</f>
        <v>246234.66666666669</v>
      </c>
      <c r="F78" s="160">
        <f>I78</f>
        <v>9.3695566779006881E-2</v>
      </c>
      <c r="H78" s="238">
        <f>Inputs!F97</f>
        <v>246234.66666666669</v>
      </c>
      <c r="I78" s="160">
        <f>H78/$H$74</f>
        <v>9.3695566779006881E-2</v>
      </c>
      <c r="K78" s="24"/>
    </row>
    <row r="79" spans="1:11" ht="15" customHeight="1" x14ac:dyDescent="0.4">
      <c r="B79" s="256" t="s">
        <v>232</v>
      </c>
      <c r="C79" s="257">
        <f>C76-C77-C78</f>
        <v>1114215.3333333333</v>
      </c>
      <c r="D79" s="258">
        <f>C79/C74</f>
        <v>0.4239737587877962</v>
      </c>
      <c r="E79" s="259">
        <f>E76-E77-E78</f>
        <v>1114215.3333333333</v>
      </c>
      <c r="F79" s="258">
        <f>E79/E74</f>
        <v>0.4239737587877962</v>
      </c>
      <c r="G79" s="260"/>
      <c r="H79" s="259">
        <f>H76-H77-H78</f>
        <v>1114215.3333333333</v>
      </c>
      <c r="I79" s="258">
        <f>H79/H74</f>
        <v>0.4239737587877962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7392</v>
      </c>
      <c r="D81" s="159">
        <f>C81/$C$74</f>
        <v>2.8127543493622026E-3</v>
      </c>
      <c r="E81" s="180">
        <f>E74*F81</f>
        <v>7392</v>
      </c>
      <c r="F81" s="160">
        <f>I81</f>
        <v>2.8127543493622026E-3</v>
      </c>
      <c r="H81" s="238">
        <f>Inputs!F94</f>
        <v>7392</v>
      </c>
      <c r="I81" s="160">
        <f>H81/$H$74</f>
        <v>2.8127543493622026E-3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1106823.3333333333</v>
      </c>
      <c r="D83" s="164">
        <f>C83/$C$74</f>
        <v>0.42116100443843402</v>
      </c>
      <c r="E83" s="165">
        <f>E79-E81-E82-E80</f>
        <v>1106823.3333333333</v>
      </c>
      <c r="F83" s="164">
        <f>E83/E74</f>
        <v>0.42116100443843402</v>
      </c>
      <c r="H83" s="165">
        <f>H79-H81-H82-H80</f>
        <v>1106823.3333333333</v>
      </c>
      <c r="I83" s="164">
        <f>H83/$H$74</f>
        <v>0.42116100443843402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830117.5</v>
      </c>
      <c r="D85" s="258">
        <f>C85/$C$74</f>
        <v>0.31587075332882553</v>
      </c>
      <c r="E85" s="264">
        <f>E83*(1-F84)</f>
        <v>830117.5</v>
      </c>
      <c r="F85" s="258">
        <f>E85/E74</f>
        <v>0.31587075332882553</v>
      </c>
      <c r="G85" s="260"/>
      <c r="H85" s="264">
        <f>H83*(1-I84)</f>
        <v>830117.5</v>
      </c>
      <c r="I85" s="258">
        <f>H85/$H$74</f>
        <v>0.31587075332882553</v>
      </c>
      <c r="K85" s="24"/>
    </row>
    <row r="86" spans="1:11" ht="15" customHeight="1" x14ac:dyDescent="0.4">
      <c r="B86" s="87" t="s">
        <v>160</v>
      </c>
      <c r="C86" s="167">
        <f>C85*Data!C4/Common_Shares</f>
        <v>0.3578303326513676</v>
      </c>
      <c r="D86" s="209"/>
      <c r="E86" s="168">
        <f>E85*Data!C4/Common_Shares</f>
        <v>0.3578303326513676</v>
      </c>
      <c r="F86" s="209"/>
      <c r="H86" s="168">
        <f>H85*Data!C4/Common_Shares</f>
        <v>0.3578303326513676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9.703174564479651E-2</v>
      </c>
      <c r="D87" s="209"/>
      <c r="E87" s="262">
        <f>E86*Exchange_Rate/Dashboard!G3</f>
        <v>9.703174564479651E-2</v>
      </c>
      <c r="F87" s="209"/>
      <c r="H87" s="262">
        <f>H86*Exchange_Rate/Dashboard!G3</f>
        <v>9.703174564479651E-2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0.37309999999999999</v>
      </c>
      <c r="D88" s="166">
        <f>C88/C86</f>
        <v>1.0426729261197361</v>
      </c>
      <c r="E88" s="170">
        <f>Inputs!E98</f>
        <v>0.15920000000000001</v>
      </c>
      <c r="F88" s="166">
        <f>E88/E86</f>
        <v>0.44490359109692307</v>
      </c>
      <c r="H88" s="170">
        <f>Inputs!F98</f>
        <v>0.15920000000000001</v>
      </c>
      <c r="I88" s="166">
        <f>H88/H86</f>
        <v>0.44490359109692307</v>
      </c>
      <c r="K88" s="24"/>
    </row>
    <row r="89" spans="1:11" ht="15" customHeight="1" x14ac:dyDescent="0.4">
      <c r="B89" s="87" t="s">
        <v>221</v>
      </c>
      <c r="C89" s="261">
        <f>C88*Exchange_Rate/Dashboard!G3</f>
        <v>0.10117237415796593</v>
      </c>
      <c r="D89" s="209"/>
      <c r="E89" s="261">
        <f>E88*Exchange_Rate/Dashboard!G3</f>
        <v>4.3169772087773194E-2</v>
      </c>
      <c r="F89" s="209"/>
      <c r="H89" s="261">
        <f>H88*Exchange_Rate/Dashboard!G3</f>
        <v>4.3169772087773194E-2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10.065875208001716</v>
      </c>
      <c r="H93" s="87" t="s">
        <v>209</v>
      </c>
      <c r="I93" s="144">
        <f>FV(H87,D93,0,-(H86/(C93-D94)))*Exchange_Rate</f>
        <v>10.065875208001716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3.4817408820199023</v>
      </c>
      <c r="H94" s="87" t="s">
        <v>210</v>
      </c>
      <c r="I94" s="144">
        <f>FV(H89,D93,0,-(H88/(C93-D94)))*Exchange_Rate</f>
        <v>3.4817408820199023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11609800.51210314</v>
      </c>
      <c r="D97" s="213"/>
      <c r="E97" s="123">
        <f>PV(C94,D93,0,-F93)</f>
        <v>5.0045189738342879</v>
      </c>
      <c r="F97" s="213"/>
      <c r="H97" s="123">
        <f>PV(C94,D93,0,-I93)</f>
        <v>5.0045189738342879</v>
      </c>
      <c r="I97" s="123">
        <f>PV(C93,D93,0,-I93)</f>
        <v>6.8348295092045861</v>
      </c>
      <c r="K97" s="24"/>
    </row>
    <row r="98" spans="2:11" ht="15" customHeight="1" x14ac:dyDescent="0.4">
      <c r="B98" s="28" t="s">
        <v>144</v>
      </c>
      <c r="C98" s="91">
        <f>E53*Exchange_Rate</f>
        <v>958791.62669959699</v>
      </c>
      <c r="D98" s="213"/>
      <c r="E98" s="213"/>
      <c r="F98" s="213"/>
      <c r="H98" s="123">
        <f>C98*Data!$C$4/Common_Shares</f>
        <v>0.413296583586375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1918318.5621040589</v>
      </c>
      <c r="D99" s="214"/>
      <c r="E99" s="145">
        <f>IF(H99&gt;0,H99*(1-C94),H99*(1+C94))</f>
        <v>0.70287360985359337</v>
      </c>
      <c r="F99" s="214"/>
      <c r="H99" s="145">
        <f>C99*Data!$C$4/Common_Shares</f>
        <v>0.82691012923952167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12569327.447507603</v>
      </c>
      <c r="D100" s="109">
        <f>MIN(F100*(1-C94),E100)</f>
        <v>4.5526971208253002</v>
      </c>
      <c r="E100" s="109">
        <f>MAX(E97-H98+E99,0)</f>
        <v>5.2940960001015069</v>
      </c>
      <c r="F100" s="109">
        <f>(E100+H100)/2</f>
        <v>5.3561142597944711</v>
      </c>
      <c r="H100" s="109">
        <f>MAX(C100*Data!$C$4/Common_Shares,0)</f>
        <v>5.4181325194874352</v>
      </c>
      <c r="I100" s="109">
        <f>MAX(I97-H98+H99,0)</f>
        <v>7.2484430548577334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4015777.6884569349</v>
      </c>
      <c r="D103" s="109">
        <f>MIN(F103*(1-C94),E103)</f>
        <v>1.4713844801456568</v>
      </c>
      <c r="E103" s="123">
        <f>PV(C94,D93,0,-F94)</f>
        <v>1.7310405648772433</v>
      </c>
      <c r="F103" s="109">
        <f>(E103+H103)/2</f>
        <v>1.7310405648772433</v>
      </c>
      <c r="H103" s="123">
        <f>PV(C94,D93,0,-I94)</f>
        <v>1.7310405648772433</v>
      </c>
      <c r="I103" s="109">
        <f>PV(C93,D93,0,-I94)</f>
        <v>2.3641367324836771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8148678.6758244643</v>
      </c>
      <c r="D106" s="109">
        <f>(D100+D103)/2</f>
        <v>3.0120408004854786</v>
      </c>
      <c r="E106" s="123">
        <f>(E100+E103)/2</f>
        <v>3.5125682824893749</v>
      </c>
      <c r="F106" s="109">
        <f>(F100+F103)/2</f>
        <v>3.543577412335857</v>
      </c>
      <c r="H106" s="123">
        <f>(H100+H103)/2</f>
        <v>3.5745865421823391</v>
      </c>
      <c r="I106" s="123">
        <f>(I100+I103)/2</f>
        <v>4.806289893670705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