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1FB57C-2C46-467D-B12F-5E7B711855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1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<sst xmlns="http://schemas.openxmlformats.org/spreadsheetml/2006/main" count="390" uniqueCount="272">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</sst>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267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261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268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269</v>
      </c>
      <c r="D19" s="24"/>
    </row>
    <row r="20" spans="2:13" ht="13.9" x14ac:dyDescent="0.4">
      <c r="B20" s="241" t="s">
        <v>229</v>
      </c>
      <c r="C20" s="242" t="s">
        <v>269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270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2.9962121212121211E-2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5.28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5510.6910144000003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1.5031381956529566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14.816554238492008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2.9962121212121211E-2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4.0938796607833101</v>
      </c>
      <c r="D29" s="129">
        <f>G29*(1+G20)</f>
        <v>7.588167499958848</v>
      </c>
      <c r="E29" s="87"/>
      <c r="F29" s="131">
        <f>IF(Fin_Analysis!C108="Profit",Fin_Analysis!F100,IF(Fin_Analysis!C108="Dividend",Fin_Analysis!F103,Fin_Analysis!F106))</f>
        <v>4.8163290126862472</v>
      </c>
      <c r="G29" s="274">
        <f>IF(Fin_Analysis!C108="Profit",Fin_Analysis!I100,IF(Fin_Analysis!C108="Dividend",Fin_Analysis!I103,Fin_Analysis!I106))</f>
        <v>6.598406521703347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0.19766986347718032</v>
      </c>
      <c r="D53" s="156">
        <f t="shared" ref="D53:M53" si="43">IF(D36="","",(D27-D36)/D27)</f>
        <v>0.21543286092524916</v>
      </c>
      <c r="E53" s="156">
        <f t="shared" si="43"/>
        <v>0.21737674703003232</v>
      </c>
      <c r="F53" s="156">
        <f t="shared" si="43"/>
        <v>0.22004620095970678</v>
      </c>
      <c r="G53" s="156">
        <f t="shared" si="43"/>
        <v>0.19888345313804912</v>
      </c>
      <c r="H53" s="156">
        <f t="shared" si="43"/>
        <v>0.19107288948809867</v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24.526937370263081</v>
      </c>
      <c r="D54" s="157">
        <f t="shared" si="44"/>
        <v>-17.20145141071864</v>
      </c>
      <c r="E54" s="157">
        <f t="shared" si="44"/>
        <v>13.117959745698334</v>
      </c>
      <c r="F54" s="157">
        <f t="shared" si="44"/>
        <v>10.918819567970536</v>
      </c>
      <c r="G54" s="157">
        <f t="shared" si="44"/>
        <v>22.780465594710311</v>
      </c>
      <c r="H54" s="157" t="str">
        <f t="shared" si="44"/>
        <v>-</v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1.4412548707603233E-3</v>
      </c>
      <c r="D55" s="153">
        <f t="shared" si="45"/>
        <v>-1.5569092100994012E-3</v>
      </c>
      <c r="E55" s="153">
        <f t="shared" si="45"/>
        <v>2.4816668616667779E-3</v>
      </c>
      <c r="F55" s="153">
        <f t="shared" si="45"/>
        <v>6.3715119602040062E-4</v>
      </c>
      <c r="G55" s="153">
        <f t="shared" si="45"/>
        <v>1.5686346067175269E-3</v>
      </c>
      <c r="H55" s="153" t="str">
        <f t="shared" si="45"/>
        <v>-</v>
      </c>
      <c r="I55" s="153" t="str">
        <f t="shared" si="45"/>
        <v>-</v>
      </c>
      <c r="J55" s="153" t="str">
        <f t="shared" si="45"/>
        <v>-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3.0168041692869996</v>
      </c>
      <c r="D56" s="158">
        <f t="shared" si="46"/>
        <v>2.7942400285655307</v>
      </c>
      <c r="E56" s="158">
        <f t="shared" si="46"/>
        <v>2.9317232378441278</v>
      </c>
      <c r="F56" s="158">
        <f t="shared" si="46"/>
        <v>3.0944307449985029</v>
      </c>
      <c r="G56" s="158">
        <f t="shared" si="46"/>
        <v>3.4859449249150689</v>
      </c>
      <c r="H56" s="158">
        <f t="shared" si="46"/>
        <v>3.6713486815660423</v>
      </c>
      <c r="I56" s="158" t="e">
        <f t="shared" si="46"/>
        <v>#VALUE!</v>
      </c>
      <c r="J56" s="158" t="e">
        <f t="shared" si="46"/>
        <v>#VALUE!</v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1100374.4574816816</v>
      </c>
      <c r="E6" s="56">
        <f>1-D6/D3</f>
        <v>0.69985345354339312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1.0543100893011808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1.5031381956529564</v>
      </c>
      <c r="E53" s="88">
        <f>IF(C53=0,0,MAX(C53,C53*Dashboard!G23))</f>
        <v>68562.642518318302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2.6941153498181512E-2</v>
      </c>
      <c r="D87" s="209"/>
      <c r="E87" s="262">
        <f>E86*Exchange_Rate/Dashboard!G3</f>
        <v>6.1979507045032113E-2</v>
      </c>
      <c r="F87" s="209"/>
      <c r="H87" s="262">
        <f>H86*Exchange_Rate/Dashboard!G3</f>
        <v>6.7492075681273744E-2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2.9962121212121211E-2</v>
      </c>
      <c r="D89" s="209"/>
      <c r="E89" s="261">
        <f>E88*Exchange_Rate/Dashboard!G3</f>
        <v>2.9962121212121211E-2</v>
      </c>
      <c r="F89" s="209"/>
      <c r="H89" s="261">
        <f>H88*Exchange_Rate/Dashboard!G3</f>
        <v>2.9962121212121211E-2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7.3064656518849755</v>
      </c>
      <c r="H93" s="87" t="s">
        <v>210</v>
      </c>
      <c r="I93" s="144">
        <f>FV(H87,D93,0,-(H86/(C93-D94)))*Exchange_Rate</f>
        <v>8.1649707215860392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3.030800634762199</v>
      </c>
      <c r="H94" s="87" t="s">
        <v>211</v>
      </c>
      <c r="I94" s="144">
        <f>FV(H89,D93,0,-(H88/(C93-D94)))*Exchange_Rate</f>
        <v>3.030800634762199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4236796.1441800371</v>
      </c>
      <c r="D97" s="213"/>
      <c r="E97" s="123">
        <f>PV(C94,D93,0,-F93)</f>
        <v>3.6326047393732637</v>
      </c>
      <c r="F97" s="213"/>
      <c r="H97" s="123">
        <f>PV(C94,D93,0,-I93)</f>
        <v>4.0594334871642692</v>
      </c>
      <c r="I97" s="123">
        <f>PV(C93,D93,0,-I93)</f>
        <v>5.5440964324021662</v>
      </c>
      <c r="K97" s="24"/>
    </row>
    <row r="98" spans="2:11" ht="15" customHeight="1" x14ac:dyDescent="0.4">
      <c r="B98" s="28" t="s">
        <v>145</v>
      </c>
      <c r="C98" s="91">
        <f>E53*Exchange_Rate</f>
        <v>68562.642518318302</v>
      </c>
      <c r="D98" s="213"/>
      <c r="E98" s="213"/>
      <c r="F98" s="213"/>
      <c r="H98" s="123">
        <f>C98*Data!$C$4/Common_Shares</f>
        <v>6.5692442481487243E-2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5337170.6016617185</v>
      </c>
      <c r="D100" s="109">
        <f>MIN(F100*(1-C94),E100)</f>
        <v>4.0938796607833101</v>
      </c>
      <c r="E100" s="109">
        <f>MAX(E97-H98+E99,0)</f>
        <v>4.5189144489070445</v>
      </c>
      <c r="F100" s="109">
        <f>(E100+H100)/2</f>
        <v>4.8163290126862472</v>
      </c>
      <c r="H100" s="109">
        <f>MAX(C100*Data!$C$4/Common_Shares,0)</f>
        <v>5.11374357646545</v>
      </c>
      <c r="I100" s="109">
        <f>MAX(I97-H98+H99,0)</f>
        <v>6.598406521703347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1572679.7904113687</v>
      </c>
      <c r="D103" s="109">
        <f>MIN(F103*(1-C94),E103)</f>
        <v>1.2808170301913966</v>
      </c>
      <c r="E103" s="123">
        <f>PV(C94,D93,0,-F94)</f>
        <v>1.5068435649310548</v>
      </c>
      <c r="F103" s="109">
        <f>(E103+H103)/2</f>
        <v>1.5068435649310548</v>
      </c>
      <c r="H103" s="123">
        <f>PV(C94,D93,0,-I94)</f>
        <v>1.5068435649310548</v>
      </c>
      <c r="I103" s="109">
        <f>PV(C93,D93,0,-I94)</f>
        <v>2.0579438138197448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3144516.1497922731</v>
      </c>
      <c r="D106" s="109">
        <f>(D100+D103)/2</f>
        <v>2.6873483454873535</v>
      </c>
      <c r="E106" s="123">
        <f>(E100+E103)/2</f>
        <v>3.0128790069190496</v>
      </c>
      <c r="F106" s="109">
        <f>(F100+F103)/2</f>
        <v>3.161586288808651</v>
      </c>
      <c r="H106" s="123">
        <f>(H100+H103)/2</f>
        <v>3.3102935706982524</v>
      </c>
      <c r="I106" s="123">
        <f>(I100+I103)/2</f>
        <v>4.3281751677615459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