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88B89D-9904-4BC9-A36A-263411571D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<sst xmlns="http://schemas.openxmlformats.org/spreadsheetml/2006/main" count="390" uniqueCount="270">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</sst>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6.5717018196980156E-2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268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1.92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2560.0003200000001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0.78949960730266067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39.558670178722082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6.5717018196980156E-2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1.4242000087861644</v>
      </c>
      <c r="D29" s="129">
        <f>G29*(1+G20)</f>
        <v>2.3905062748668389</v>
      </c>
      <c r="E29" s="87"/>
      <c r="F29" s="131">
        <f>IF(Fin_Analysis!C108="Profit",Fin_Analysis!F100,IF(Fin_Analysis!C108="Dividend",Fin_Analysis!F103,Fin_Analysis!F106))</f>
        <v>1.6755294221013699</v>
      </c>
      <c r="G29" s="274">
        <f>IF(Fin_Analysis!C108="Profit",Fin_Analysis!I100,IF(Fin_Analysis!C108="Dividend",Fin_Analysis!I103,Fin_Analysis!I106))</f>
        <v>2.0787011085798599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0.1751627786077426</v>
      </c>
      <c r="D53" s="156">
        <f t="shared" ref="D53:M53" si="43">IF(D36="","",(D27-D36)/D27)</f>
        <v>0.21060858391144721</v>
      </c>
      <c r="E53" s="156">
        <f t="shared" si="43"/>
        <v>0.21276976631405353</v>
      </c>
      <c r="F53" s="156">
        <f t="shared" si="43"/>
        <v>0.84857949978181479</v>
      </c>
      <c r="G53" s="156">
        <f t="shared" si="43"/>
        <v>0.98878596160178012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2.369393217447572</v>
      </c>
      <c r="D54" s="157">
        <f t="shared" si="44"/>
        <v>-1.2060310581437341</v>
      </c>
      <c r="E54" s="157">
        <f t="shared" si="44"/>
        <v>5.3942585015762292</v>
      </c>
      <c r="F54" s="157">
        <f t="shared" si="44"/>
        <v>0.92325313885928983</v>
      </c>
      <c r="G54" s="157">
        <f t="shared" si="44"/>
        <v>20.080950024740229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1.2450811226833175E-2</v>
      </c>
      <c r="D55" s="153">
        <f t="shared" si="45"/>
        <v>-4.3070319908169882E-2</v>
      </c>
      <c r="E55" s="153">
        <f t="shared" si="45"/>
        <v>2.0056451512626985E-2</v>
      </c>
      <c r="F55" s="153">
        <f t="shared" si="45"/>
        <v>9.3355027935918562E-3</v>
      </c>
      <c r="G55" s="153">
        <f t="shared" si="45"/>
        <v>1.4735016114883846E-3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4.8753437887604978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2124675.4261963367</v>
      </c>
      <c r="E6" s="56">
        <f>1-D6/D3</f>
        <v>0.2981597327921004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1.7068194848671787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2.5278908403192041E-2</v>
      </c>
      <c r="D87" s="209"/>
      <c r="E87" s="262">
        <f>E86*Exchange_Rate/Dashboard!G3</f>
        <v>2.5278908403192041E-2</v>
      </c>
      <c r="F87" s="209"/>
      <c r="H87" s="262">
        <f>H86*Exchange_Rate/Dashboard!G3</f>
        <v>2.5278908403192041E-2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6.5717018196980156E-2</v>
      </c>
      <c r="D89" s="209"/>
      <c r="E89" s="261">
        <f>E88*Exchange_Rate/Dashboard!G3</f>
        <v>6.5717018196980156E-2</v>
      </c>
      <c r="F89" s="209"/>
      <c r="H89" s="261">
        <f>H88*Exchange_Rate/Dashboard!G3</f>
        <v>6.5717018196980156E-2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0.90889619865259996</v>
      </c>
      <c r="H93" s="87" t="s">
        <v>209</v>
      </c>
      <c r="I93" s="144">
        <f>FV(H87,D93,0,-(H86/(C93-D94)))*Exchange_Rate</f>
        <v>0.90889619865259996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2.867036413045744</v>
      </c>
      <c r="H94" s="87" t="s">
        <v>210</v>
      </c>
      <c r="I94" s="144">
        <f>FV(H89,D93,0,-(H88/(C93-D94)))*Exchange_Rate</f>
        <v>2.867036413045744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602509.4683418416</v>
      </c>
      <c r="D97" s="213"/>
      <c r="E97" s="123">
        <f>PV(C94,D93,0,-F93)</f>
        <v>0.45188204477112559</v>
      </c>
      <c r="F97" s="213"/>
      <c r="H97" s="123">
        <f>PV(C94,D93,0,-I93)</f>
        <v>0.45188204477112559</v>
      </c>
      <c r="I97" s="123">
        <f>PV(C93,D93,0,-I93)</f>
        <v>0.61714957030427009</v>
      </c>
      <c r="K97" s="24"/>
    </row>
    <row r="98" spans="2:11" ht="15" customHeight="1" x14ac:dyDescent="0.4">
      <c r="B98" s="28" t="s">
        <v>144</v>
      </c>
      <c r="C98" s="91">
        <f>E53*Exchange_Rate</f>
        <v>4273.7260866165161</v>
      </c>
      <c r="D98" s="213"/>
      <c r="E98" s="213"/>
      <c r="F98" s="213"/>
      <c r="H98" s="123">
        <f>C98*Data!$C$4/Common_Shares</f>
        <v>3.2052941643006165E-3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2128949.1522829533</v>
      </c>
      <c r="D99" s="214"/>
      <c r="E99" s="145">
        <f>IF(H99&gt;0,H99*(1-C94),H99*(1+C94))</f>
        <v>1.3572049149297682</v>
      </c>
      <c r="F99" s="214"/>
      <c r="H99" s="145">
        <f>C99*Data!$C$4/Common_Shares</f>
        <v>1.5967116646232569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2727184.8945381781</v>
      </c>
      <c r="D100" s="109">
        <f>MIN(F100*(1-C94),E100)</f>
        <v>1.6367897843258368</v>
      </c>
      <c r="E100" s="109">
        <f>MAX(E97-H98+E99,0)</f>
        <v>1.8058816655365932</v>
      </c>
      <c r="F100" s="109">
        <f>(E100+H100)/2</f>
        <v>1.9256350403833373</v>
      </c>
      <c r="H100" s="109">
        <f>MAX(C100*Data!$C$4/Common_Shares,0)</f>
        <v>2.0453884152300814</v>
      </c>
      <c r="I100" s="109">
        <f>MAX(I97-H98+H99,0)</f>
        <v>2.2106559407632265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1900565.3093298371</v>
      </c>
      <c r="D103" s="109">
        <f>MIN(F103*(1-C94),E103)</f>
        <v>1.211610233246492</v>
      </c>
      <c r="E103" s="123">
        <f>PV(C94,D93,0,-F94)</f>
        <v>1.4254238038194023</v>
      </c>
      <c r="F103" s="109">
        <f>(E103+H103)/2</f>
        <v>1.4254238038194023</v>
      </c>
      <c r="H103" s="123">
        <f>PV(C94,D93,0,-I94)</f>
        <v>1.4254238038194023</v>
      </c>
      <c r="I103" s="109">
        <f>PV(C93,D93,0,-I94)</f>
        <v>1.9467462763964933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2154203.9155127862</v>
      </c>
      <c r="D106" s="109">
        <f>(D100+D103)/2</f>
        <v>1.4242000087861644</v>
      </c>
      <c r="E106" s="123">
        <f>(E100+E103)/2</f>
        <v>1.6156527346779979</v>
      </c>
      <c r="F106" s="109">
        <f>(F100+F103)/2</f>
        <v>1.6755294221013699</v>
      </c>
      <c r="H106" s="123">
        <f>(H100+H103)/2</f>
        <v>1.7354061095247419</v>
      </c>
      <c r="I106" s="123">
        <f>(I100+I103)/2</f>
        <v>2.0787011085798599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