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A1848C4-4BD9-47B8-B5EF-C34B11C6FA7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<sst xmlns="http://schemas.openxmlformats.org/spreadsheetml/2006/main" count="390" uniqueCount="269">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</sst>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0.38675293231140062</c:v>
                </c:pt>
                <c:pt idx="1">
                  <c:v>0.43040868738019761</c:v>
                </c:pt>
                <c:pt idx="2">
                  <c:v>1.3599953361915031E-3</c:v>
                </c:pt>
                <c:pt idx="3">
                  <c:v>0</c:v>
                </c:pt>
                <c:pt idx="4">
                  <c:v>5.1320409039705113E-3</c:v>
                </c:pt>
                <c:pt idx="5">
                  <c:v>0</c:v>
                </c:pt>
                <c:pt idx="6">
                  <c:v>0.17634634406823974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1342943150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3.3022943397688735E-3</v>
      </c>
      <c r="D45" s="152">
        <f>IF(D44="","",D44*Exchange_Rate/Dashboard!$G$3)</f>
        <v>1.0184317885852251E-3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105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247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257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207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9992.HK</v>
      </c>
      <c r="D3" s="278"/>
      <c r="E3" s="87"/>
      <c r="F3" s="3" t="s">
        <v>1</v>
      </c>
      <c r="G3" s="132">
        <v>91.5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POP MART</v>
      </c>
      <c r="D4" s="280"/>
      <c r="E4" s="87"/>
      <c r="F4" s="3" t="s">
        <v>2</v>
      </c>
      <c r="G4" s="283">
        <f>Inputs!C10</f>
        <v>1342943150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122879.29822500001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0.38675293231140062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0.43040868738019761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1.3599953361915031E-3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5.1320409039705113E-3</v>
      </c>
      <c r="F24" s="140" t="s">
        <v>260</v>
      </c>
      <c r="G24" s="268">
        <f>G3/(Fin_Analysis!H86*G7)</f>
        <v>137.65994540669317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0.45459365852941497</v>
      </c>
    </row>
    <row r="26" spans="1:8" ht="15.75" customHeight="1" x14ac:dyDescent="0.4">
      <c r="B26" s="138" t="s">
        <v>173</v>
      </c>
      <c r="C26" s="171">
        <f>Fin_Analysis!I83</f>
        <v>0.17634634406823974</v>
      </c>
      <c r="F26" s="141" t="s">
        <v>193</v>
      </c>
      <c r="G26" s="178">
        <f>Fin_Analysis!H88*Exchange_Rate/G3</f>
        <v>3.3022943397688735E-3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4.8139880715201784</v>
      </c>
      <c r="D29" s="129">
        <f>G29*(1+G20)</f>
        <v>8.8950679517608826</v>
      </c>
      <c r="E29" s="87"/>
      <c r="F29" s="131">
        <f>IF(Fin_Analysis!C108="Profit",Fin_Analysis!F100,IF(Fin_Analysis!C108="Dividend",Fin_Analysis!F103,Fin_Analysis!F106))</f>
        <v>5.6635153782590333</v>
      </c>
      <c r="G29" s="274">
        <f>IF(Fin_Analysis!C108="Profit",Fin_Analysis!I100,IF(Fin_Analysis!C108="Dividend",Fin_Analysis!I103,Fin_Analysis!I106))</f>
        <v>7.7348416971833771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2.9102054432070305E-2</v>
      </c>
      <c r="D55" s="153">
        <f t="shared" si="45"/>
        <v>8.4097196033508959E-2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95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172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232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160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7.2642771798700646E-3</v>
      </c>
      <c r="D87" s="209"/>
      <c r="E87" s="262">
        <f>E86*Exchange_Rate/Dashboard!G3</f>
        <v>7.2642771798700646E-3</v>
      </c>
      <c r="F87" s="209"/>
      <c r="H87" s="262">
        <f>H86*Exchange_Rate/Dashboard!G3</f>
        <v>7.2642771798700646E-3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221</v>
      </c>
      <c r="C89" s="261">
        <f>C88*Exchange_Rate/Dashboard!G3</f>
        <v>3.3022943397688735E-3</v>
      </c>
      <c r="D89" s="209"/>
      <c r="E89" s="261">
        <f>E88*Exchange_Rate/Dashboard!G3</f>
        <v>3.3022943397688735E-3</v>
      </c>
      <c r="F89" s="209"/>
      <c r="H89" s="261">
        <f>H88*Exchange_Rate/Dashboard!G3</f>
        <v>3.3022943397688735E-3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11.391352362578084</v>
      </c>
      <c r="H93" s="87" t="s">
        <v>209</v>
      </c>
      <c r="I93" s="144">
        <f>FV(H87,D93,0,-(H86/(C93-D94)))*Exchange_Rate</f>
        <v>11.391352362578084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5.0773900369787786</v>
      </c>
      <c r="H94" s="87" t="s">
        <v>210</v>
      </c>
      <c r="I94" s="144">
        <f>FV(H89,D93,0,-(H88/(C93-D94)))*Exchange_Rate</f>
        <v>5.0773900369787786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7605779.182152628</v>
      </c>
      <c r="D97" s="213"/>
      <c r="E97" s="123">
        <f>PV(C94,D93,0,-F93)</f>
        <v>5.6635153782590333</v>
      </c>
      <c r="F97" s="213"/>
      <c r="H97" s="123">
        <f>PV(C94,D93,0,-I93)</f>
        <v>5.6635153782590333</v>
      </c>
      <c r="I97" s="123">
        <f>PV(C93,D93,0,-I93)</f>
        <v>7.7348416971833771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7605779.182152628</v>
      </c>
      <c r="D100" s="109">
        <f>MIN(F100*(1-C94),E100)</f>
        <v>4.8139880715201784</v>
      </c>
      <c r="E100" s="109">
        <f>MAX(E97-H98+E99,0)</f>
        <v>5.6635153782590333</v>
      </c>
      <c r="F100" s="109">
        <f>(E100+H100)/2</f>
        <v>5.6635153782590333</v>
      </c>
      <c r="H100" s="109">
        <f>MAX(C100*Data!$C$4/Common_Shares,0)</f>
        <v>5.6635153782590333</v>
      </c>
      <c r="I100" s="109">
        <f>MAX(I97-H98+H99,0)</f>
        <v>7.7348416971833771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3390072.241974127</v>
      </c>
      <c r="D103" s="109">
        <f>MIN(F103*(1-C94),E103)</f>
        <v>2.1457061720579964</v>
      </c>
      <c r="E103" s="123">
        <f>PV(C94,D93,0,-F94)</f>
        <v>2.5243602024211724</v>
      </c>
      <c r="F103" s="109">
        <f>(E103+H103)/2</f>
        <v>2.5243602024211724</v>
      </c>
      <c r="H103" s="123">
        <f>PV(C94,D93,0,-I94)</f>
        <v>2.5243602024211724</v>
      </c>
      <c r="I103" s="109">
        <f>PV(C93,D93,0,-I94)</f>
        <v>3.4475983992824806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5497925.7120633777</v>
      </c>
      <c r="D106" s="109">
        <f>(D100+D103)/2</f>
        <v>3.4798471217890876</v>
      </c>
      <c r="E106" s="123">
        <f>(E100+E103)/2</f>
        <v>4.0939377903401031</v>
      </c>
      <c r="F106" s="109">
        <f>(F100+F103)/2</f>
        <v>4.0939377903401031</v>
      </c>
      <c r="H106" s="123">
        <f>(H100+H103)/2</f>
        <v>4.0939377903401031</v>
      </c>
      <c r="I106" s="123">
        <f>(I100+I103)/2</f>
        <v>5.5912200482329286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