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CC5A5B0-3937-4F19-B28A-37F7763C829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B7" i="3"/>
  <c r="M53" i="2"/>
  <c r="F96" i="4" l="1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I27" i="2"/>
  <c r="I55" i="2"/>
  <c r="K27" i="2"/>
  <c r="K55" i="2"/>
  <c r="M27" i="2"/>
  <c r="M55" i="2"/>
  <c r="K53" i="2"/>
  <c r="L50" i="2"/>
  <c r="G53" i="2"/>
  <c r="H50" i="2"/>
  <c r="J53" i="2"/>
  <c r="K50" i="2"/>
  <c r="E53" i="2"/>
  <c r="F50" i="2"/>
  <c r="F53" i="2"/>
  <c r="G50" i="2"/>
  <c r="D53" i="2"/>
  <c r="E50" i="2"/>
  <c r="C53" i="2"/>
  <c r="H53" i="2"/>
  <c r="I50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22" i="2"/>
  <c r="F61" i="2" s="1"/>
  <c r="F60" i="2"/>
  <c r="K15" i="2"/>
  <c r="L60" i="2"/>
  <c r="J15" i="2"/>
  <c r="K60" i="2"/>
  <c r="E22" i="2"/>
  <c r="E61" i="2" s="1"/>
  <c r="E60" i="2"/>
  <c r="L15" i="2"/>
  <c r="M60" i="2"/>
  <c r="D22" i="2"/>
  <c r="D61" i="2" s="1"/>
  <c r="D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K59" i="2" s="1"/>
  <c r="E13" i="2"/>
  <c r="L13" i="2"/>
  <c r="E40" i="2"/>
  <c r="G13" i="2"/>
  <c r="G59" i="2" s="1"/>
  <c r="D40" i="2"/>
  <c r="D13" i="2"/>
  <c r="G40" i="2"/>
  <c r="K56" i="2"/>
  <c r="L24" i="2"/>
  <c r="L23" i="2" s="1"/>
  <c r="M57" i="2"/>
  <c r="M56" i="2"/>
  <c r="D59" i="2" l="1"/>
  <c r="E57" i="2"/>
  <c r="L59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<sst xmlns="http://schemas.openxmlformats.org/spreadsheetml/2006/main" count="393" uniqueCount="271">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</sst>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265</v>
      </c>
    </row>
    <row r="5" spans="1:5" ht="13.9" x14ac:dyDescent="0.4">
      <c r="B5" s="141" t="s">
        <v>183</v>
      </c>
      <c r="C5" s="191" t="s">
        <v>266</v>
      </c>
    </row>
    <row r="6" spans="1:5" ht="13.9" x14ac:dyDescent="0.4">
      <c r="B6" s="141" t="s">
        <v>157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68</v>
      </c>
      <c r="E8" s="267"/>
    </row>
    <row r="9" spans="1:5" ht="13.9" x14ac:dyDescent="0.4">
      <c r="B9" s="140" t="s">
        <v>204</v>
      </c>
      <c r="C9" s="192" t="s">
        <v>267</v>
      </c>
    </row>
    <row r="10" spans="1:5" ht="13.9" x14ac:dyDescent="0.4">
      <c r="B10" s="140" t="s">
        <v>205</v>
      </c>
      <c r="C10" s="193">
        <v>2897780274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207</v>
      </c>
      <c r="C14" s="219">
        <v>45473</v>
      </c>
    </row>
    <row r="15" spans="1:5" ht="13.9" x14ac:dyDescent="0.4">
      <c r="B15" s="218" t="s">
        <v>241</v>
      </c>
      <c r="C15" s="176" t="s">
        <v>178</v>
      </c>
    </row>
    <row r="16" spans="1:5" ht="13.9" x14ac:dyDescent="0.4">
      <c r="B16" s="222" t="s">
        <v>94</v>
      </c>
      <c r="C16" s="223">
        <v>0.23499999999999999</v>
      </c>
      <c r="D16" s="24"/>
    </row>
    <row r="17" spans="2:13" ht="13.9" x14ac:dyDescent="0.4">
      <c r="B17" s="240" t="s">
        <v>212</v>
      </c>
      <c r="C17" s="242" t="s">
        <v>268</v>
      </c>
      <c r="D17" s="24"/>
    </row>
    <row r="18" spans="2:13" ht="13.9" x14ac:dyDescent="0.4">
      <c r="B18" s="240" t="s">
        <v>226</v>
      </c>
      <c r="C18" s="242" t="s">
        <v>231</v>
      </c>
      <c r="D18" s="24"/>
    </row>
    <row r="19" spans="2:13" ht="13.9" x14ac:dyDescent="0.4">
      <c r="B19" s="240" t="s">
        <v>227</v>
      </c>
      <c r="C19" s="242" t="s">
        <v>231</v>
      </c>
      <c r="D19" s="24"/>
    </row>
    <row r="20" spans="2:13" ht="13.9" x14ac:dyDescent="0.4">
      <c r="B20" s="241" t="s">
        <v>216</v>
      </c>
      <c r="C20" s="242" t="s">
        <v>231</v>
      </c>
      <c r="D20" s="24"/>
    </row>
    <row r="21" spans="2:13" ht="13.9" x14ac:dyDescent="0.4">
      <c r="B21" s="224" t="s">
        <v>219</v>
      </c>
      <c r="C21" s="242" t="s">
        <v>231</v>
      </c>
      <c r="D21" s="24"/>
    </row>
    <row r="22" spans="2:13" ht="78.75" x14ac:dyDescent="0.4">
      <c r="B22" s="226" t="s">
        <v>218</v>
      </c>
      <c r="C22" s="243" t="s">
        <v>269</v>
      </c>
      <c r="D22" s="24"/>
    </row>
    <row r="24" spans="2:13" ht="13.9" x14ac:dyDescent="0.4">
      <c r="B24" s="115" t="s">
        <v>130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>
        <f>IF(C44="","",C44*Exchange_Rate/Dashboard!$G$3)</f>
        <v>5.0200803212851405E-2</v>
      </c>
      <c r="D45" s="152">
        <f>IF(D44="","",D44*Exchange_Rate/Dashboard!$G$3)</f>
        <v>6.6265060240963861E-2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>
        <v>16221</v>
      </c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>
        <v>748</v>
      </c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44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45</v>
      </c>
      <c r="C56" s="59">
        <v>214077</v>
      </c>
      <c r="D56" s="60">
        <f>D50</f>
        <v>0.6</v>
      </c>
      <c r="E56" s="221" t="s">
        <v>43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f>7954+93101</f>
        <v>101055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408424</v>
      </c>
      <c r="D66" s="60">
        <v>0.2</v>
      </c>
      <c r="E66" s="221" t="s">
        <v>43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4338</v>
      </c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3743</v>
      </c>
      <c r="D72" s="248">
        <v>0</v>
      </c>
      <c r="E72" s="249"/>
    </row>
    <row r="73" spans="2:5" ht="13.9" x14ac:dyDescent="0.4">
      <c r="B73" s="3" t="s">
        <v>36</v>
      </c>
      <c r="C73" s="59">
        <v>10498</v>
      </c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59</v>
      </c>
      <c r="C78" s="59">
        <v>116589</v>
      </c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145011</v>
      </c>
    </row>
    <row r="83" spans="2:8" ht="14.25" thickTop="1" x14ac:dyDescent="0.4">
      <c r="B83" s="73" t="s">
        <v>208</v>
      </c>
      <c r="C83" s="59">
        <v>606717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237</v>
      </c>
      <c r="D87" s="269">
        <v>0.02</v>
      </c>
    </row>
    <row r="89" spans="2:8" ht="13.5" x14ac:dyDescent="0.35">
      <c r="B89" s="106" t="s">
        <v>124</v>
      </c>
      <c r="C89" s="283">
        <f>C24</f>
        <v>45473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103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233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242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232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163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195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0016.HK</v>
      </c>
      <c r="D3" s="290"/>
      <c r="E3" s="87"/>
      <c r="F3" s="3" t="s">
        <v>1</v>
      </c>
      <c r="G3" s="132">
        <v>74.7</v>
      </c>
      <c r="H3" s="134" t="s">
        <v>270</v>
      </c>
    </row>
    <row r="4" spans="1:10" ht="15.75" customHeight="1" x14ac:dyDescent="0.4">
      <c r="B4" s="35" t="s">
        <v>183</v>
      </c>
      <c r="C4" s="291" t="str">
        <f>Inputs!C5</f>
        <v>新鴻基地產</v>
      </c>
      <c r="D4" s="292"/>
      <c r="E4" s="87"/>
      <c r="F4" s="3" t="s">
        <v>3</v>
      </c>
      <c r="G4" s="295">
        <f>Inputs!C10</f>
        <v>2897780274</v>
      </c>
      <c r="H4" s="295"/>
      <c r="I4" s="39"/>
    </row>
    <row r="5" spans="1:10" ht="15.75" customHeight="1" x14ac:dyDescent="0.4">
      <c r="B5" s="3" t="s">
        <v>157</v>
      </c>
      <c r="C5" s="293">
        <f>Inputs!C6</f>
        <v>45625</v>
      </c>
      <c r="D5" s="294"/>
      <c r="E5" s="34"/>
      <c r="F5" s="35" t="s">
        <v>97</v>
      </c>
      <c r="G5" s="287">
        <f>G3*G4/1000000</f>
        <v>216464.18646780003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HK</v>
      </c>
      <c r="F16" s="110" t="s">
        <v>168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254</v>
      </c>
      <c r="C20" s="276">
        <f>C23*C22*(1/C21)</f>
        <v>3.9977915643952019E-2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252</v>
      </c>
      <c r="C21" s="278">
        <f>Data!C55</f>
        <v>0.74162260082582199</v>
      </c>
      <c r="F21" s="87"/>
      <c r="G21" s="29"/>
    </row>
    <row r="22" spans="1:8" ht="15.75" customHeight="1" x14ac:dyDescent="0.4">
      <c r="B22" s="279" t="s">
        <v>259</v>
      </c>
      <c r="C22" s="280">
        <f>Data!C50</f>
        <v>8.7405603757025482E-2</v>
      </c>
      <c r="F22" s="142" t="s">
        <v>173</v>
      </c>
    </row>
    <row r="23" spans="1:8" ht="15.75" customHeight="1" thickBot="1" x14ac:dyDescent="0.45">
      <c r="B23" s="281" t="s">
        <v>260</v>
      </c>
      <c r="C23" s="282">
        <f>Data!C13</f>
        <v>0.33920623508169434</v>
      </c>
      <c r="F23" s="140" t="s">
        <v>177</v>
      </c>
      <c r="G23" s="177">
        <f>G3/(Data!C36*Data!C4/Common_Shares*Exchange_Rate)</f>
        <v>0.35423737416404966</v>
      </c>
    </row>
    <row r="24" spans="1:8" ht="15.75" customHeight="1" x14ac:dyDescent="0.4">
      <c r="B24" s="137" t="s">
        <v>261</v>
      </c>
      <c r="C24" s="171">
        <f>Fin_Analysis!I81</f>
        <v>5.6582664391799292E-2</v>
      </c>
      <c r="F24" s="140" t="s">
        <v>244</v>
      </c>
      <c r="G24" s="268">
        <f>G3/(Fin_Analysis!H86*G7)</f>
        <v>14.290692148213385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164</v>
      </c>
      <c r="G25" s="171">
        <f>Fin_Analysis!I88</f>
        <v>0.71740422430790074</v>
      </c>
    </row>
    <row r="26" spans="1:8" ht="15.75" customHeight="1" x14ac:dyDescent="0.4">
      <c r="B26" s="138" t="s">
        <v>263</v>
      </c>
      <c r="C26" s="171">
        <f>Fin_Analysis!I80+Fin_Analysis!I82</f>
        <v>5.719799737085E-3</v>
      </c>
      <c r="F26" s="141" t="s">
        <v>181</v>
      </c>
      <c r="G26" s="178">
        <f>Fin_Analysis!H88*Exchange_Rate/G3</f>
        <v>5.0200803212851405E-2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243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17.921031574404214</v>
      </c>
      <c r="D29" s="129">
        <f>G29*(1+G20)</f>
        <v>52.487287796299121</v>
      </c>
      <c r="E29" s="87"/>
      <c r="F29" s="131">
        <f>IF(Fin_Analysis!C108="Profit",Fin_Analysis!F100,IF(Fin_Analysis!C108="Dividend",Fin_Analysis!F103,Fin_Analysis!F106))</f>
        <v>21.083566558122605</v>
      </c>
      <c r="G29" s="286">
        <f>IF(Fin_Analysis!C108="Profit",Fin_Analysis!I100,IF(Fin_Analysis!C108="Dividend",Fin_Analysis!I103,Fin_Analysis!I106))</f>
        <v>45.641119822868802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disagree</v>
      </c>
    </row>
    <row r="34" spans="1:3" ht="15.75" customHeight="1" x14ac:dyDescent="0.4">
      <c r="A34"/>
      <c r="B34" s="19" t="s">
        <v>213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unclear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unclear</v>
      </c>
    </row>
    <row r="40" spans="1:3" ht="15.75" customHeight="1" x14ac:dyDescent="0.4">
      <c r="A40"/>
      <c r="B40" s="1" t="s">
        <v>219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188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189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17115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502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145011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611071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4354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119705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>
        <f>IF(C6="","",C14/MAX(C39,0))</f>
        <v>3.4730330869689581E-2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0.54949235029228316</v>
      </c>
      <c r="D42" s="156">
        <f t="shared" si="34"/>
        <v>0.51600533745347288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0.10108242664951193</v>
      </c>
      <c r="D43" s="153">
        <f t="shared" si="35"/>
        <v>0.10287239272420816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5.6582664391799292E-2</v>
      </c>
      <c r="D45" s="153">
        <f t="shared" si="37"/>
        <v>4.2882224875342372E-2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1.0218987976510586E-2</v>
      </c>
      <c r="D46" s="153">
        <f t="shared" ref="D46:M46" si="38">IF(D6="","",MAX(D12,0)/D6)</f>
        <v>1.2264942964802092E-2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5.719799737085E-3</v>
      </c>
      <c r="D47" s="153">
        <f t="shared" ref="D47:M47" si="39">IF(D6="","",ABS(MAX(D21,0)-MAX(D19,0))/D6)</f>
        <v>7.0651028864386544E-3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0.27690377095281005</v>
      </c>
      <c r="D48" s="153">
        <f t="shared" si="40"/>
        <v>0.31890999909573586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>
        <f>IF(C6="","",C6/C27)</f>
        <v>8.7405603757025482E-2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0.23935054401029285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7.0203898973512716E-3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>
        <f>IF(D6="","",C16/(C6-D6))</f>
        <v>-7.2636655948553051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>
        <f>IF(C36="","",(C36-C37)/C27)</f>
        <v>0.74162260082582199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0.15580099495425681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0.20434053388692244</v>
      </c>
      <c r="D57" s="153">
        <f t="shared" si="47"/>
        <v>0.13446497443458727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4.0099174353350966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>
        <f>IF(C14="","",C14/(C36-C37))</f>
        <v>3.9977915643952013E-2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>
        <f>IF(C22="","",C22/(C36-C37))</f>
        <v>3.2635118260657993E-2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606717</v>
      </c>
      <c r="K3" s="24"/>
    </row>
    <row r="4" spans="1:11" ht="15" customHeight="1" x14ac:dyDescent="0.4">
      <c r="B4" s="3" t="s">
        <v>24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4.0099174353350966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40428.799999999988</v>
      </c>
      <c r="E6" s="56">
        <f>1-D6/D3</f>
        <v>0.93383943927956004</v>
      </c>
      <c r="F6" s="87"/>
      <c r="G6" s="87"/>
      <c r="H6" s="1" t="s">
        <v>27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28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36</v>
      </c>
      <c r="I11" s="40">
        <f>Inputs!C73</f>
        <v>10498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51</v>
      </c>
      <c r="I15" s="84">
        <f>SUM(I11:I14)</f>
        <v>10498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52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53</v>
      </c>
      <c r="I25" s="63">
        <f>E28/I28</f>
        <v>2.4824082435657617</v>
      </c>
    </row>
    <row r="26" spans="2:10" ht="15" customHeight="1" x14ac:dyDescent="0.4">
      <c r="B26" s="23" t="s">
        <v>54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55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57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116589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116589</v>
      </c>
      <c r="J34" s="87"/>
    </row>
    <row r="35" spans="2:10" ht="13.9" x14ac:dyDescent="0.4">
      <c r="B35" s="3" t="s">
        <v>67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78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79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80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81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82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83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127087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45473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103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93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163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220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242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232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122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158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154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6.9975616970030352E-2</v>
      </c>
      <c r="D87" s="209"/>
      <c r="E87" s="262">
        <f>E86*Exchange_Rate/Dashboard!G3</f>
        <v>6.9975616970030352E-2</v>
      </c>
      <c r="F87" s="209"/>
      <c r="H87" s="262">
        <f>H86*Exchange_Rate/Dashboard!G3</f>
        <v>6.9975616970030352E-2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209</v>
      </c>
      <c r="C89" s="261">
        <f>C88*Exchange_Rate/Dashboard!G3</f>
        <v>5.0200803212851405E-2</v>
      </c>
      <c r="D89" s="209"/>
      <c r="E89" s="261">
        <f>E88*Exchange_Rate/Dashboard!G3</f>
        <v>5.0200803212851405E-2</v>
      </c>
      <c r="F89" s="209"/>
      <c r="H89" s="261">
        <f>H88*Exchange_Rate/Dashboard!G3</f>
        <v>5.0200803212851405E-2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HK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197</v>
      </c>
      <c r="F93" s="144">
        <f>FV(E87,D93,0,-(E86/(C93-D94)))*Exchange_Rate</f>
        <v>120.91633944636142</v>
      </c>
      <c r="H93" s="87" t="s">
        <v>197</v>
      </c>
      <c r="I93" s="144">
        <f>FV(H87,D93,0,-(H86/(C93-D94)))*Exchange_Rate</f>
        <v>120.91633944636142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79.02076807219953</v>
      </c>
      <c r="H94" s="87" t="s">
        <v>198</v>
      </c>
      <c r="I94" s="144">
        <f>FV(H89,D93,0,-(H88/(C93-D94)))*Exchange_Rate</f>
        <v>79.02076807219953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174205.25077769376</v>
      </c>
      <c r="D97" s="213"/>
      <c r="E97" s="123">
        <f>PV(C94,D93,0,-F93)</f>
        <v>60.116790890161802</v>
      </c>
      <c r="F97" s="213"/>
      <c r="H97" s="123">
        <f>PV(C94,D93,0,-I93)</f>
        <v>60.116790890161802</v>
      </c>
      <c r="I97" s="123">
        <f>PV(C93,D93,0,-I93)</f>
        <v>82.055923576895594</v>
      </c>
      <c r="K97" s="24"/>
    </row>
    <row r="98" spans="2:11" ht="15" customHeight="1" x14ac:dyDescent="0.4">
      <c r="B98" s="28" t="s">
        <v>141</v>
      </c>
      <c r="C98" s="91">
        <f>-E53*Exchange_Rate</f>
        <v>-4354</v>
      </c>
      <c r="D98" s="213"/>
      <c r="E98" s="213"/>
      <c r="F98" s="213"/>
      <c r="H98" s="123">
        <f>C98*Data!$C$4/Common_Shares</f>
        <v>-1.5025293805281801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68683.150777693751</v>
      </c>
      <c r="D100" s="109">
        <f>MIN(F100*(1-C94),E100)</f>
        <v>17.921031574404214</v>
      </c>
      <c r="E100" s="109">
        <f>MAX(E97+H98+E99,0)</f>
        <v>18.465145980110215</v>
      </c>
      <c r="F100" s="109">
        <f>(E100+H100)/2</f>
        <v>21.083566558122605</v>
      </c>
      <c r="H100" s="109">
        <f>MAX(C100*Data!$C$4/Common_Shares,0)</f>
        <v>23.701987136134999</v>
      </c>
      <c r="I100" s="109">
        <f>MAX(I97+H98+H99,0)</f>
        <v>45.641119822868802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113845.92671009553</v>
      </c>
      <c r="D103" s="109">
        <f>MIN(F103*(1-C94),E103)</f>
        <v>33.394194367264575</v>
      </c>
      <c r="E103" s="123">
        <f>PV(C94,D93,0,-F94)</f>
        <v>39.287287490899502</v>
      </c>
      <c r="F103" s="109">
        <f>(E103+H103)/2</f>
        <v>39.287287490899502</v>
      </c>
      <c r="H103" s="123">
        <f>PV(C94,D93,0,-I94)</f>
        <v>39.287287490899502</v>
      </c>
      <c r="I103" s="109">
        <f>PV(C93,D93,0,-I94)</f>
        <v>53.624862740708075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83676.931243894651</v>
      </c>
      <c r="D106" s="109">
        <f>(D100+D103)/2</f>
        <v>25.657612970834393</v>
      </c>
      <c r="E106" s="123">
        <f>(E100+E103)/2</f>
        <v>28.876216735504858</v>
      </c>
      <c r="F106" s="109">
        <f>(F100+F103)/2</f>
        <v>30.185427024511053</v>
      </c>
      <c r="H106" s="123">
        <f>(H100+H103)/2</f>
        <v>31.494637313517252</v>
      </c>
      <c r="I106" s="123">
        <f>(I100+I103)/2</f>
        <v>49.632991281788435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