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9FA51D-03A1-4574-ACE5-7AA7D273C80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6" i="4" s="1"/>
  <c r="E91" i="4"/>
  <c r="E93" i="4" s="1"/>
  <c r="D69" i="4"/>
  <c r="D68" i="4"/>
  <c r="D63" i="4"/>
  <c r="D62" i="4"/>
  <c r="D61" i="4"/>
  <c r="D60" i="4"/>
  <c r="D59" i="4"/>
  <c r="D58" i="4"/>
  <c r="D71" i="4" s="1"/>
  <c r="D56" i="4"/>
  <c r="D55" i="4"/>
  <c r="D53" i="4"/>
  <c r="D50" i="4"/>
  <c r="B7" i="3"/>
  <c r="M53" i="2"/>
  <c r="F95" i="4" l="1"/>
  <c r="E92" i="4"/>
  <c r="F97" i="4"/>
  <c r="F92" i="4"/>
  <c r="F93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I53" i="2"/>
  <c r="J50" i="2"/>
  <c r="G53" i="2"/>
  <c r="H50" i="2"/>
  <c r="E53" i="2"/>
  <c r="F50" i="2"/>
  <c r="F53" i="2"/>
  <c r="G50" i="2"/>
  <c r="D53" i="2"/>
  <c r="E50" i="2"/>
  <c r="C53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D55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<sst xmlns="http://schemas.openxmlformats.org/spreadsheetml/2006/main" count="393" uniqueCount="273">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</sst>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264</v>
      </c>
    </row>
    <row r="5" spans="1:5" ht="13.9" x14ac:dyDescent="0.4">
      <c r="B5" s="141" t="s">
        <v>183</v>
      </c>
      <c r="C5" s="191" t="s">
        <v>265</v>
      </c>
    </row>
    <row r="6" spans="1:5" ht="13.9" x14ac:dyDescent="0.4">
      <c r="B6" s="141" t="s">
        <v>157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266</v>
      </c>
      <c r="E8" s="267"/>
    </row>
    <row r="9" spans="1:5" ht="13.9" x14ac:dyDescent="0.4">
      <c r="B9" s="140" t="s">
        <v>204</v>
      </c>
      <c r="C9" s="192" t="s">
        <v>267</v>
      </c>
    </row>
    <row r="10" spans="1:5" ht="13.9" x14ac:dyDescent="0.4">
      <c r="B10" s="140" t="s">
        <v>205</v>
      </c>
      <c r="C10" s="193">
        <v>8171879936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240</v>
      </c>
      <c r="C15" s="176" t="s">
        <v>178</v>
      </c>
    </row>
    <row r="16" spans="1:5" ht="13.9" x14ac:dyDescent="0.4">
      <c r="B16" s="222" t="s">
        <v>94</v>
      </c>
      <c r="C16" s="223">
        <v>0.20500000000000002</v>
      </c>
      <c r="D16" s="24"/>
    </row>
    <row r="17" spans="2:13" ht="13.9" x14ac:dyDescent="0.4">
      <c r="B17" s="240" t="s">
        <v>212</v>
      </c>
      <c r="C17" s="242" t="s">
        <v>268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269</v>
      </c>
      <c r="D19" s="24"/>
    </row>
    <row r="20" spans="2:13" ht="13.9" x14ac:dyDescent="0.4">
      <c r="B20" s="241" t="s">
        <v>216</v>
      </c>
      <c r="C20" s="242" t="s">
        <v>269</v>
      </c>
      <c r="D20" s="24"/>
    </row>
    <row r="21" spans="2:13" ht="13.9" x14ac:dyDescent="0.4">
      <c r="B21" s="224" t="s">
        <v>219</v>
      </c>
      <c r="C21" s="242" t="s">
        <v>268</v>
      </c>
      <c r="D21" s="24"/>
    </row>
    <row r="22" spans="2:13" ht="78.75" x14ac:dyDescent="0.4">
      <c r="B22" s="226" t="s">
        <v>218</v>
      </c>
      <c r="C22" s="243" t="s">
        <v>270</v>
      </c>
      <c r="D22" s="24"/>
    </row>
    <row r="24" spans="2:13" ht="13.9" x14ac:dyDescent="0.4">
      <c r="B24" s="115" t="s">
        <v>130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247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7.3047858942065488E-2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v>45574</v>
      </c>
      <c r="D48" s="60">
        <v>0.9</v>
      </c>
      <c r="E48" s="112"/>
    </row>
    <row r="49" spans="2:5" ht="13.9" x14ac:dyDescent="0.4">
      <c r="B49" s="1" t="s">
        <v>132</v>
      </c>
      <c r="C49" s="59">
        <v>843</v>
      </c>
      <c r="D49" s="60">
        <v>0.8</v>
      </c>
      <c r="E49" s="112"/>
    </row>
    <row r="50" spans="2:5" ht="13.9" x14ac:dyDescent="0.4">
      <c r="B50" s="3" t="s">
        <v>114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13</v>
      </c>
      <c r="D51" s="60">
        <v>0.6</v>
      </c>
      <c r="E51" s="112"/>
    </row>
    <row r="52" spans="2:5" ht="13.9" x14ac:dyDescent="0.4">
      <c r="B52" s="3" t="s">
        <v>41</v>
      </c>
      <c r="C52" s="59">
        <v>6</v>
      </c>
      <c r="D52" s="60">
        <v>0.5</v>
      </c>
      <c r="E52" s="112"/>
    </row>
    <row r="53" spans="2:5" ht="13.9" x14ac:dyDescent="0.4">
      <c r="B53" s="1" t="s">
        <v>152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v>0</v>
      </c>
      <c r="D54" s="60">
        <v>0.1</v>
      </c>
      <c r="E54" s="112"/>
    </row>
    <row r="55" spans="2:5" ht="13.9" x14ac:dyDescent="0.4">
      <c r="B55" s="3" t="s">
        <v>44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0</v>
      </c>
      <c r="D56" s="60">
        <f>D50</f>
        <v>0.6</v>
      </c>
      <c r="E56" s="221" t="s">
        <v>43</v>
      </c>
    </row>
    <row r="57" spans="2:5" ht="13.9" x14ac:dyDescent="0.4">
      <c r="B57" s="3" t="s">
        <v>117</v>
      </c>
      <c r="C57" s="59">
        <v>9403</v>
      </c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48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58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60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62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153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13047</v>
      </c>
      <c r="D64" s="60">
        <v>0.4</v>
      </c>
      <c r="E64" s="112"/>
    </row>
    <row r="65" spans="2:5" ht="13.9" x14ac:dyDescent="0.4">
      <c r="B65" s="3" t="s">
        <v>67</v>
      </c>
      <c r="C65" s="59">
        <v>23342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1641</v>
      </c>
      <c r="D66" s="60">
        <v>0.3</v>
      </c>
      <c r="E66" s="221" t="s">
        <v>43</v>
      </c>
    </row>
    <row r="67" spans="2:5" ht="13.9" x14ac:dyDescent="0.4">
      <c r="B67" s="1" t="s">
        <v>46</v>
      </c>
      <c r="C67" s="59">
        <v>0</v>
      </c>
      <c r="D67" s="60">
        <v>0.2</v>
      </c>
      <c r="E67" s="221" t="s">
        <v>43</v>
      </c>
    </row>
    <row r="68" spans="2:5" ht="13.9" x14ac:dyDescent="0.4">
      <c r="B68" s="3" t="s">
        <v>116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70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71</v>
      </c>
      <c r="C70" s="59">
        <v>0</v>
      </c>
      <c r="D70" s="60">
        <v>0.05</v>
      </c>
      <c r="E70" s="112"/>
    </row>
    <row r="71" spans="2:5" ht="13.9" x14ac:dyDescent="0.4">
      <c r="B71" s="3" t="s">
        <v>72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0</v>
      </c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20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59</v>
      </c>
      <c r="C78" s="59">
        <v>832</v>
      </c>
    </row>
    <row r="79" spans="2:5" ht="13.9" x14ac:dyDescent="0.4">
      <c r="B79" s="3" t="s">
        <v>61</v>
      </c>
      <c r="C79" s="59">
        <v>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6210</v>
      </c>
    </row>
    <row r="83" spans="2:8" ht="14.25" thickTop="1" x14ac:dyDescent="0.4">
      <c r="B83" s="73" t="s">
        <v>208</v>
      </c>
      <c r="C83" s="59">
        <v>165790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271</v>
      </c>
      <c r="D87" s="269">
        <v>0.02</v>
      </c>
    </row>
    <row r="89" spans="2:8" ht="13.5" x14ac:dyDescent="0.35">
      <c r="B89" s="106" t="s">
        <v>124</v>
      </c>
      <c r="C89" s="283">
        <f>C24</f>
        <v>45473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103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233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241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232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107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0083.HK</v>
      </c>
      <c r="D3" s="290"/>
      <c r="E3" s="87"/>
      <c r="F3" s="3" t="s">
        <v>1</v>
      </c>
      <c r="G3" s="132">
        <v>7.94</v>
      </c>
      <c r="H3" s="134" t="s">
        <v>272</v>
      </c>
    </row>
    <row r="4" spans="1:10" ht="15.75" customHeight="1" x14ac:dyDescent="0.4">
      <c r="B4" s="35" t="s">
        <v>183</v>
      </c>
      <c r="C4" s="291" t="str">
        <f>Inputs!C5</f>
        <v>SINO LAND</v>
      </c>
      <c r="D4" s="292"/>
      <c r="E4" s="87"/>
      <c r="F4" s="3" t="s">
        <v>3</v>
      </c>
      <c r="G4" s="295">
        <f>Inputs!C10</f>
        <v>8171879936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45593</v>
      </c>
      <c r="D5" s="294"/>
      <c r="E5" s="34"/>
      <c r="F5" s="35" t="s">
        <v>97</v>
      </c>
      <c r="G5" s="287">
        <f>G3*G4/1000000</f>
        <v>64884.726691840006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253</v>
      </c>
      <c r="C20" s="276">
        <f>C23*C22*(1/C21)</f>
        <v>1.4096145726521505E-2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251</v>
      </c>
      <c r="C21" s="278">
        <f>Data!C55</f>
        <v>0.91929867364592111</v>
      </c>
      <c r="F21" s="87"/>
      <c r="G21" s="29"/>
    </row>
    <row r="22" spans="1:8" ht="15.75" customHeight="1" x14ac:dyDescent="0.4">
      <c r="B22" s="279" t="s">
        <v>258</v>
      </c>
      <c r="C22" s="280">
        <f>Data!C50</f>
        <v>4.8601561460320276E-2</v>
      </c>
      <c r="F22" s="142" t="s">
        <v>173</v>
      </c>
    </row>
    <row r="23" spans="1:8" ht="15.75" customHeight="1" thickBot="1" x14ac:dyDescent="0.45">
      <c r="B23" s="281" t="s">
        <v>259</v>
      </c>
      <c r="C23" s="282">
        <f>Data!C13</f>
        <v>0.26662863662293212</v>
      </c>
      <c r="F23" s="140" t="s">
        <v>177</v>
      </c>
      <c r="G23" s="177">
        <f>G3/(Data!C36*Data!C4/Common_Shares*Exchange_Rate)</f>
        <v>0.39012919197094686</v>
      </c>
    </row>
    <row r="24" spans="1:8" ht="15.75" customHeight="1" x14ac:dyDescent="0.4">
      <c r="B24" s="137" t="s">
        <v>260</v>
      </c>
      <c r="C24" s="171">
        <f>Fin_Analysis!I81</f>
        <v>1.0724472333143184E-2</v>
      </c>
      <c r="F24" s="140" t="s">
        <v>243</v>
      </c>
      <c r="G24" s="268">
        <f>G3/(Fin_Analysis!H86*G7)</f>
        <v>34.407517755775118</v>
      </c>
    </row>
    <row r="25" spans="1:8" ht="15.75" customHeight="1" x14ac:dyDescent="0.4">
      <c r="B25" s="137" t="s">
        <v>261</v>
      </c>
      <c r="C25" s="171">
        <f>Fin_Analysis!I80</f>
        <v>0.02</v>
      </c>
      <c r="F25" s="140" t="s">
        <v>164</v>
      </c>
      <c r="G25" s="171">
        <f>Fin_Analysis!I88</f>
        <v>2.5133955035704743</v>
      </c>
    </row>
    <row r="26" spans="1:8" ht="15.75" customHeight="1" x14ac:dyDescent="0.4">
      <c r="B26" s="138" t="s">
        <v>262</v>
      </c>
      <c r="C26" s="171">
        <f>Fin_Analysis!I80+Fin_Analysis!I82</f>
        <v>3.0382201939532231E-2</v>
      </c>
      <c r="F26" s="141" t="s">
        <v>181</v>
      </c>
      <c r="G26" s="178">
        <f>Fin_Analysis!H88*Exchange_Rate/G3</f>
        <v>7.3047858942065488E-2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242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7.4389136492123615</v>
      </c>
      <c r="D29" s="129">
        <f>G29*(1+G20)</f>
        <v>12.470700196094882</v>
      </c>
      <c r="E29" s="87"/>
      <c r="F29" s="131">
        <f>IF(Fin_Analysis!C108="Profit",Fin_Analysis!F100,IF(Fin_Analysis!C108="Dividend",Fin_Analysis!F103,Fin_Analysis!F106))</f>
        <v>8.751663116720426</v>
      </c>
      <c r="G29" s="286">
        <f>IF(Fin_Analysis!C108="Profit",Fin_Analysis!I100,IF(Fin_Analysis!C108="Dividend",Fin_Analysis!I103,Fin_Analysis!I106))</f>
        <v>10.844087127039028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188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139541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40803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5.727520035291523E-2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255</v>
      </c>
      <c r="C50" s="272">
        <f>IF(C6="","",C6/C27)</f>
        <v>4.8601561460320276E-2</v>
      </c>
      <c r="D50" s="272">
        <f t="shared" ref="D50:M50" si="41">IF(D6="","",D6/D27)</f>
        <v>6.6274334802253587E-2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256</v>
      </c>
      <c r="C51" s="153">
        <f t="shared" ref="C51:M51" si="42">IF(C29="","",C29/C6)</f>
        <v>0.93462635482030809</v>
      </c>
      <c r="D51" s="153">
        <f t="shared" si="42"/>
        <v>0.61030216311758267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257</v>
      </c>
      <c r="C52" s="153">
        <f t="shared" ref="C52:M52" si="43">IF(C30="","",C30/C6)</f>
        <v>0.73029092983456934</v>
      </c>
      <c r="D52" s="153">
        <f t="shared" si="43"/>
        <v>1.3794293409645653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246</v>
      </c>
      <c r="C53" s="153">
        <f>IF(D6="","",C16/(C6-D6))</f>
        <v>-0.2920410783055199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251</v>
      </c>
      <c r="C55" s="156">
        <f>IF(C36="","",(C36-C37)/C27)</f>
        <v>0.91929867364592111</v>
      </c>
      <c r="D55" s="156">
        <f t="shared" ref="D55:M55" si="45">IF(D36="","",(D36-D37)/D27)</f>
        <v>0.90561164723601273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1.4325259515570934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7.5684380032206122E-2</v>
      </c>
      <c r="D57" s="153">
        <f t="shared" si="47"/>
        <v>6.4256757610072962E-2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9.0093374264517774</v>
      </c>
      <c r="D58" s="158">
        <f t="shared" si="48"/>
        <v>6.2044578976334614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253</v>
      </c>
      <c r="C60" s="274">
        <f>IF(C14="","",C14/(C36-C37))</f>
        <v>1.4096145726521504E-2</v>
      </c>
      <c r="D60" s="274">
        <f t="shared" ref="D60:M60" si="50">IF(D14="","",D14/(D36-D37))</f>
        <v>2.5999582931266443E-2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254</v>
      </c>
      <c r="C61" s="274">
        <f>IF(C22="","",C22/(C36-C37))</f>
        <v>7.4914047891911457E-3</v>
      </c>
      <c r="D61" s="274">
        <f t="shared" ref="D61:M61" si="51">IF(D22="","",D22/(D36-D37))</f>
        <v>9.2024360440050492E-3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165790</v>
      </c>
      <c r="K3" s="24"/>
    </row>
    <row r="4" spans="1:11" ht="15" customHeight="1" x14ac:dyDescent="0.4">
      <c r="B4" s="3" t="s">
        <v>24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84515.700000000012</v>
      </c>
      <c r="E6" s="56">
        <f>1-D6/D3</f>
        <v>0.49183662425743757</v>
      </c>
      <c r="F6" s="87"/>
      <c r="G6" s="87"/>
      <c r="H6" s="1" t="s">
        <v>27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10.342259145007587</v>
      </c>
      <c r="E7" s="11" t="str">
        <f>Dashboard!H3</f>
        <v>HKD</v>
      </c>
      <c r="H7" s="1" t="s">
        <v>28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37</v>
      </c>
      <c r="I12" s="40">
        <f>Inputs!C74</f>
        <v>20</v>
      </c>
      <c r="J12" s="87"/>
      <c r="K12" s="24"/>
    </row>
    <row r="13" spans="1:11" ht="13.9" x14ac:dyDescent="0.4">
      <c r="B13" s="3" t="s">
        <v>114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51</v>
      </c>
      <c r="I15" s="84">
        <f>SUM(I11:I14)</f>
        <v>20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117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52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53</v>
      </c>
      <c r="I25" s="63">
        <f>E28/I28</f>
        <v>7.0941417242261444</v>
      </c>
    </row>
    <row r="26" spans="2:10" ht="15" customHeight="1" x14ac:dyDescent="0.4">
      <c r="B26" s="23" t="s">
        <v>54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55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57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832</v>
      </c>
      <c r="J30" s="87"/>
    </row>
    <row r="31" spans="2:10" ht="15" customHeight="1" x14ac:dyDescent="0.4">
      <c r="B31" s="3" t="s">
        <v>60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61</v>
      </c>
      <c r="I31" s="40">
        <f>Inputs!C79</f>
        <v>15</v>
      </c>
      <c r="J31" s="87"/>
    </row>
    <row r="32" spans="2:10" ht="15" customHeight="1" x14ac:dyDescent="0.4">
      <c r="B32" s="3" t="s">
        <v>62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75</v>
      </c>
      <c r="I34" s="84">
        <f>SUM(I30:I33)</f>
        <v>847</v>
      </c>
      <c r="J34" s="87"/>
    </row>
    <row r="35" spans="2:10" ht="13.9" x14ac:dyDescent="0.4">
      <c r="B35" s="3" t="s">
        <v>67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1641</v>
      </c>
      <c r="D36" s="198">
        <f>Inputs!D66</f>
        <v>0.3</v>
      </c>
      <c r="E36" s="88">
        <f t="shared" si="1"/>
        <v>492.29999999999995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78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80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82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83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867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45473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93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107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128</v>
      </c>
    </row>
    <row r="81" spans="1:11" ht="15" customHeight="1" x14ac:dyDescent="0.4">
      <c r="B81" s="104" t="s">
        <v>241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232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122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158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154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1.5217602821839048E-2</v>
      </c>
      <c r="D87" s="209"/>
      <c r="E87" s="262">
        <f>E86*Exchange_Rate/Dashboard!G3</f>
        <v>2.4219513283356885E-2</v>
      </c>
      <c r="F87" s="209"/>
      <c r="H87" s="262">
        <f>H86*Exchange_Rate/Dashboard!G3</f>
        <v>2.9063415940028266E-2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209</v>
      </c>
      <c r="C89" s="261">
        <f>C88*Exchange_Rate/Dashboard!G3</f>
        <v>7.3047858942065488E-2</v>
      </c>
      <c r="D89" s="209"/>
      <c r="E89" s="261">
        <f>E88*Exchange_Rate/Dashboard!G3</f>
        <v>7.3047858942065488E-2</v>
      </c>
      <c r="F89" s="209"/>
      <c r="H89" s="261">
        <f>H88*Exchange_Rate/Dashboard!G3</f>
        <v>7.3047858942065488E-2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3.5751921705337626</v>
      </c>
      <c r="H93" s="87" t="s">
        <v>197</v>
      </c>
      <c r="I93" s="144">
        <f>FV(H87,D93,0,-(H86/(C93-D94)))*Exchange_Rate</f>
        <v>4.3926449649575714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13.610425530520157</v>
      </c>
      <c r="H94" s="87" t="s">
        <v>198</v>
      </c>
      <c r="I94" s="144">
        <f>FV(H89,D93,0,-(H88/(C93-D94)))*Exchange_Rate</f>
        <v>13.610425530520157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17846.739245616074</v>
      </c>
      <c r="D97" s="213"/>
      <c r="E97" s="123">
        <f>PV(C94,D93,0,-F93)</f>
        <v>1.7775023714099829</v>
      </c>
      <c r="F97" s="213"/>
      <c r="H97" s="123">
        <f>PV(C94,D93,0,-I93)</f>
        <v>2.1839208830020764</v>
      </c>
      <c r="I97" s="123">
        <f>PV(C93,D93,0,-I93)</f>
        <v>2.9809250031496886</v>
      </c>
      <c r="K97" s="24"/>
    </row>
    <row r="98" spans="2:11" ht="15" customHeight="1" x14ac:dyDescent="0.4">
      <c r="B98" s="28" t="s">
        <v>141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77921.7</v>
      </c>
      <c r="D99" s="214"/>
      <c r="E99" s="145">
        <f>IF(H99&gt;0,H99*(1-C94),H99*(1+C94))</f>
        <v>8.1050438232968176</v>
      </c>
      <c r="F99" s="214"/>
      <c r="H99" s="145">
        <f>C99*Data!$C$4/Common_Shares</f>
        <v>9.5353456744668446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95242.439245616071</v>
      </c>
      <c r="D100" s="109">
        <f>MIN(F100*(1-C94),E100)</f>
        <v>9.1260584068328914</v>
      </c>
      <c r="E100" s="109">
        <f>MAX(E97+H98+E99,0)</f>
        <v>9.818179120775282</v>
      </c>
      <c r="F100" s="109">
        <f>(E100+H100)/2</f>
        <v>10.736539302156343</v>
      </c>
      <c r="H100" s="109">
        <f>MAX(C100*Data!$C$4/Common_Shares,0)</f>
        <v>11.654899483537404</v>
      </c>
      <c r="I100" s="109">
        <f>MAX(I97+H98+H99,0)</f>
        <v>12.451903603685015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55297.370354950872</v>
      </c>
      <c r="D103" s="109">
        <f>MIN(F103*(1-C94),E103)</f>
        <v>5.7517688915918308</v>
      </c>
      <c r="E103" s="123">
        <f>PV(C94,D93,0,-F94)</f>
        <v>6.766786931284507</v>
      </c>
      <c r="F103" s="109">
        <f>(E103+H103)/2</f>
        <v>6.766786931284507</v>
      </c>
      <c r="H103" s="123">
        <f>PV(C94,D93,0,-I94)</f>
        <v>6.766786931284507</v>
      </c>
      <c r="I103" s="109">
        <f>PV(C93,D93,0,-I94)</f>
        <v>9.2362706503930436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67765.175660034278</v>
      </c>
      <c r="D106" s="109">
        <f>(D100+D103)/2</f>
        <v>7.4389136492123615</v>
      </c>
      <c r="E106" s="123">
        <f>(E100+E103)/2</f>
        <v>8.2924830260298954</v>
      </c>
      <c r="F106" s="109">
        <f>(F100+F103)/2</f>
        <v>8.751663116720426</v>
      </c>
      <c r="H106" s="123">
        <f>(H100+H103)/2</f>
        <v>9.2108432074109565</v>
      </c>
      <c r="I106" s="123">
        <f>(I100+I103)/2</f>
        <v>10.844087127039028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