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6DEF8D2-49DC-407E-BC1E-69F51BDE466B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E92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B7" i="3"/>
  <c r="M53" i="2"/>
  <c r="F93" i="4" l="1"/>
  <c r="F95" i="4"/>
  <c r="F96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J27" i="2" l="1"/>
  <c r="J55" i="2"/>
  <c r="I27" i="2"/>
  <c r="I55" i="2"/>
  <c r="M27" i="2"/>
  <c r="M55" i="2"/>
  <c r="K27" i="2"/>
  <c r="K55" i="2"/>
  <c r="D53" i="2"/>
  <c r="E50" i="2"/>
  <c r="H53" i="2"/>
  <c r="I50" i="2"/>
  <c r="I53" i="2"/>
  <c r="J50" i="2"/>
  <c r="G53" i="2"/>
  <c r="H50" i="2"/>
  <c r="L53" i="2"/>
  <c r="M50" i="2"/>
  <c r="K53" i="2"/>
  <c r="L50" i="2"/>
  <c r="J53" i="2"/>
  <c r="K50" i="2"/>
  <c r="E53" i="2"/>
  <c r="F53" i="2"/>
  <c r="G50" i="2"/>
  <c r="C53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F50" i="2" l="1"/>
  <c r="D50" i="2"/>
  <c r="E22" i="2"/>
  <c r="E61" i="2" s="1"/>
  <c r="E60" i="2"/>
  <c r="D22" i="2"/>
  <c r="D61" i="2" s="1"/>
  <c r="D60" i="2"/>
  <c r="F22" i="2"/>
  <c r="F61" i="2" s="1"/>
  <c r="F60" i="2"/>
  <c r="K15" i="2"/>
  <c r="L60" i="2"/>
  <c r="L15" i="2"/>
  <c r="M60" i="2"/>
  <c r="G22" i="2"/>
  <c r="G61" i="2" s="1"/>
  <c r="G60" i="2"/>
  <c r="J15" i="2"/>
  <c r="K60" i="2"/>
  <c r="H103" i="3"/>
  <c r="I103" i="3"/>
  <c r="D93" i="4"/>
  <c r="D97" i="4"/>
  <c r="D92" i="4"/>
  <c r="C22" i="2"/>
  <c r="F3" i="2"/>
  <c r="H22" i="2"/>
  <c r="H61" i="2" s="1"/>
  <c r="M13" i="2"/>
  <c r="F15" i="2"/>
  <c r="H15" i="2"/>
  <c r="G15" i="2"/>
  <c r="C15" i="2"/>
  <c r="H74" i="3" s="1"/>
  <c r="D56" i="2"/>
  <c r="D15" i="2"/>
  <c r="E15" i="2"/>
  <c r="K13" i="2"/>
  <c r="E13" i="2"/>
  <c r="L13" i="2"/>
  <c r="E40" i="2"/>
  <c r="G13" i="2"/>
  <c r="D40" i="2"/>
  <c r="D13" i="2"/>
  <c r="G40" i="2"/>
  <c r="K56" i="2"/>
  <c r="L24" i="2"/>
  <c r="L23" i="2" s="1"/>
  <c r="M57" i="2"/>
  <c r="M56" i="2"/>
  <c r="G59" i="2" l="1"/>
  <c r="K59" i="2"/>
  <c r="D59" i="2"/>
  <c r="E59" i="2"/>
  <c r="M59" i="2"/>
  <c r="G57" i="2"/>
  <c r="E57" i="2"/>
  <c r="L59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3" i="1" l="1"/>
  <c r="F94" i="3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25" i="1" l="1"/>
  <c r="C35" i="2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F80" i="3"/>
  <c r="E80" i="3" s="1"/>
  <c r="E76" i="3"/>
  <c r="E79" i="3" s="1"/>
  <c r="H76" i="3"/>
  <c r="H79" i="3" s="1"/>
  <c r="D83" i="3"/>
  <c r="D85" i="3"/>
  <c r="C86" i="3"/>
  <c r="C87" i="3" s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C39" i="2"/>
  <c r="C40" i="2" s="1"/>
  <c r="D49" i="3"/>
  <c r="D68" i="3"/>
  <c r="D4" i="3"/>
  <c r="C53" i="3" s="1"/>
  <c r="C36" i="2"/>
  <c r="J28" i="3"/>
  <c r="E99" i="3" l="1"/>
  <c r="G23" i="1"/>
  <c r="E53" i="3" s="1"/>
  <c r="C27" i="2"/>
  <c r="C50" i="2" s="1"/>
  <c r="C37" i="2"/>
  <c r="C55" i="2" s="1"/>
  <c r="C21" i="1" s="1"/>
  <c r="C61" i="2" l="1"/>
  <c r="C60" i="2"/>
  <c r="C22" i="1"/>
  <c r="C20" i="1" s="1"/>
  <c r="C59" i="2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<sst xmlns="http://schemas.openxmlformats.org/spreadsheetml/2006/main" count="393" uniqueCount="270">
  <si>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</si>
  <si>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</si>
  <si>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</si>
  <si>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</si>
  <si>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</si>
  <si>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</si>
  <si>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</si>
  <si>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</si>
  <si>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</si>
  <si>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</si>
  <si>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</si>
  <si>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</si>
  <si>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</si>
  <si>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</si>
  <si>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</si>
  <si>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</si>
  <si>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</si>
  <si>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</si>
  <si>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</si>
  <si>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</si>
  <si>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</si>
  <si>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</si>
  <si>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</si>
  <si>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</si>
  <si>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</si>
  <si>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</si>
  <si>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</si>
  <si>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</si>
  <si>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</si>
  <si>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</si>
  <si>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</si>
  <si>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</si>
  <si>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</si>
  <si>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</si>
  <si>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</si>
  <si>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</si>
  <si>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</si>
  <si>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</si>
  <si>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</si>
  <si>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</si>
  <si>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</si>
  <si>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</si>
  <si>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</si>
  <si>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</si>
  <si>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</si>
  <si>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</si>
  <si>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</si>
  <si>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</si>
  <si>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</si>
  <si>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</si>
  <si>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</si>
  <si>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</si>
  <si>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</si>
  <si>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</si>
  <si>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</si>
  <si>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</si>
  <si>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</si>
  <si>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</si>
  <si>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</si>
  <si>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</si>
  <si>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</si>
  <si>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</si>
  <si>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</si>
  <si>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</si>
  <si>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</si>
  <si>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</si>
  <si>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</si>
  <si>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</si>
  <si>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</si>
  <si>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</si>
  <si>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</si>
  <si>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</si>
  <si>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</si>
  <si>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</si>
  <si>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</si>
  <si>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</si>
  <si>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</si>
  <si>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</si>
  <si>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</si>
  <si>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</si>
  <si>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</si>
  <si>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</si>
  <si>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</si>
  <si>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</si>
  <si>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</si>
  <si>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</si>
  <si>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</si>
  <si>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</si>
  <si>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</si>
  <si>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</si>
  <si>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</si>
  <si>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</si>
  <si>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</si>
  <si>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</si>
  <si>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</si>
  <si>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</si>
  <si>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</si>
  <si>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</si>
  <si>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</si>
  <si>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</si>
  <si>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</si>
  <si>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</si>
  <si>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</si>
  <si>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</si>
  <si>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</si>
  <si>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</si>
  <si>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</si>
  <si>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</si>
  <si>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</si>
  <si>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</si>
  <si>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</si>
  <si>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</si>
  <si>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</si>
  <si>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</si>
  <si>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</si>
  <si>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</si>
  <si>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</si>
  <si>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</si>
  <si>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</si>
  <si>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</si>
  <si>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</si>
  <si>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</si>
  <si>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</si>
  <si>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</si>
  <si>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</si>
  <si>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</si>
  <si>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</si>
  <si>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</si>
  <si>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</si>
  <si>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</si>
  <si>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</si>
  <si>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</si>
  <si>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</si>
  <si>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</si>
  <si>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</si>
  <si>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</si>
  <si>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</si>
  <si>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</si>
  <si>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</si>
  <si>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</si>
  <si>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</si>
  <si>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</si>
  <si>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</si>
  <si>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</si>
  <si>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</si>
  <si>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</si>
  <si>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</si>
  <si>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</si>
  <si>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</si>
  <si>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</si>
  <si>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</si>
  <si>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</si>
  <si>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</si>
  <si>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</si>
  <si>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</si>
  <si>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</si>
  <si>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</si>
  <si>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</si>
  <si>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</si>
  <si>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</si>
  <si>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</si>
  <si>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</si>
  <si>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</si>
  <si>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</si>
  <si>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</si>
  <si>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</si>
  <si>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</si>
  <si>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</si>
  <si>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</si>
  <si>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</si>
  <si>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</si>
  <si>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</si>
  <si>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</si>
  <si>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</si>
  <si>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</si>
  <si>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</si>
  <si>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</si>
  <si>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</si>
  <si>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</si>
  <si>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</si>
  <si>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</si>
  <si>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</si>
  <si>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</si>
  <si>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</si>
  <si>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</si>
  <si>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</si>
  <si>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</si>
  <si>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</si>
  <si>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</si>
  <si>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</si>
  <si>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</si>
  <si>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</si>
  <si>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</si>
  <si>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</si>
  <si>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</si>
  <si>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</si>
  <si>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</si>
  <si>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</si>
  <si>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</si>
  <si>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</si>
  <si>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</si>
  <si>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</si>
  <si>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</si>
  <si>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</si>
  <si>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</si>
  <si>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</si>
  <si>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</si>
  <si>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</si>
  <si>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</si>
  <si>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</si>
  <si>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</si>
  <si>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</si>
  <si>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</si>
  <si>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</si>
  <si>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</si>
  <si>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</si>
  <si>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</si>
  <si>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</si>
  <si>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</si>
  <si>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</si>
  <si>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</si>
  <si>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</si>
  <si>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</si>
  <si>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</si>
  <si>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</si>
  <si>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</si>
  <si>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</si>
  <si>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</si>
  <si>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</si>
  <si>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</si>
  <si>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</si>
  <si>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</si>
  <si>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</si>
  <si>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</si>
  <si>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</si>
  <si>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</si>
  <si>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</si>
  <si>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</si>
  <si>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</si>
  <si>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</si>
  <si>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</si>
  <si>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</si>
  <si>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</si>
  <si>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</si>
  <si>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</si>
  <si>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</si>
  <si>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</si>
  <si>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</si>
  <si>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</si>
  <si>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</si>
  <si>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</si>
  <si>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</si>
  <si>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</si>
  <si>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</si>
  <si>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</si>
  <si>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</si>
  <si>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</si>
  <si>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</si>
  <si>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</si>
  <si>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</si>
  <si>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</si>
  <si>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</si>
  <si>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</si>
  <si>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</si>
  <si>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</si>
  <si>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0175.HK</t>
  </si>
  <si>
    <t>吉利汽車</t>
  </si>
  <si>
    <t>C0006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</si>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</sst>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1" t="s">
        <v>181</v>
      </c>
      <c r="C4" s="188" t="s">
        <v>265</v>
      </c>
    </row>
    <row r="5" spans="1:5" ht="13.9" x14ac:dyDescent="0.4">
      <c r="B5" s="141" t="s">
        <v>182</v>
      </c>
      <c r="C5" s="191" t="s">
        <v>266</v>
      </c>
    </row>
    <row r="6" spans="1:5" ht="13.9" x14ac:dyDescent="0.4">
      <c r="B6" s="141" t="s">
        <v>156</v>
      </c>
      <c r="C6" s="189">
        <v>45633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202</v>
      </c>
      <c r="C8" s="191" t="s">
        <v>67</v>
      </c>
      <c r="E8" s="267"/>
    </row>
    <row r="9" spans="1:5" ht="13.9" x14ac:dyDescent="0.4">
      <c r="B9" s="140" t="s">
        <v>203</v>
      </c>
      <c r="C9" s="192" t="s">
        <v>267</v>
      </c>
    </row>
    <row r="10" spans="1:5" ht="13.9" x14ac:dyDescent="0.4">
      <c r="B10" s="140" t="s">
        <v>204</v>
      </c>
      <c r="C10" s="193">
        <v>10071700480</v>
      </c>
    </row>
    <row r="11" spans="1:5" ht="13.9" x14ac:dyDescent="0.4">
      <c r="B11" s="140" t="s">
        <v>205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206</v>
      </c>
      <c r="C14" s="219">
        <v>45473</v>
      </c>
    </row>
    <row r="15" spans="1:5" ht="13.9" x14ac:dyDescent="0.4">
      <c r="B15" s="218" t="s">
        <v>240</v>
      </c>
      <c r="C15" s="176" t="s">
        <v>177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211</v>
      </c>
      <c r="C17" s="242" t="s">
        <v>230</v>
      </c>
      <c r="D17" s="24"/>
    </row>
    <row r="18" spans="2:13" ht="13.9" x14ac:dyDescent="0.4">
      <c r="B18" s="240" t="s">
        <v>225</v>
      </c>
      <c r="C18" s="242" t="s">
        <v>230</v>
      </c>
      <c r="D18" s="24"/>
    </row>
    <row r="19" spans="2:13" ht="13.9" x14ac:dyDescent="0.4">
      <c r="B19" s="240" t="s">
        <v>226</v>
      </c>
      <c r="C19" s="242" t="s">
        <v>230</v>
      </c>
      <c r="D19" s="24"/>
    </row>
    <row r="20" spans="2:13" ht="13.9" x14ac:dyDescent="0.4">
      <c r="B20" s="241" t="s">
        <v>215</v>
      </c>
      <c r="C20" s="242" t="s">
        <v>230</v>
      </c>
      <c r="D20" s="24"/>
    </row>
    <row r="21" spans="2:13" ht="13.9" x14ac:dyDescent="0.4">
      <c r="B21" s="224" t="s">
        <v>218</v>
      </c>
      <c r="C21" s="242" t="s">
        <v>230</v>
      </c>
      <c r="D21" s="24"/>
    </row>
    <row r="22" spans="2:13" ht="78.75" x14ac:dyDescent="0.4">
      <c r="B22" s="226" t="s">
        <v>217</v>
      </c>
      <c r="C22" s="243" t="s">
        <v>243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179203592</v>
      </c>
      <c r="D25" s="149">
        <v>147964647</v>
      </c>
      <c r="E25" s="149">
        <v>101611056</v>
      </c>
      <c r="F25" s="149">
        <v>92113878</v>
      </c>
      <c r="G25" s="149">
        <v>0</v>
      </c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151788523</v>
      </c>
      <c r="D26" s="150">
        <v>127069010</v>
      </c>
      <c r="E26" s="150">
        <v>84198821</v>
      </c>
      <c r="F26" s="150">
        <v>77376859</v>
      </c>
      <c r="G26" s="150">
        <v>0</v>
      </c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23852114</v>
      </c>
      <c r="D27" s="150">
        <v>18320074</v>
      </c>
      <c r="E27" s="150">
        <v>14230292</v>
      </c>
      <c r="F27" s="150">
        <v>10798510</v>
      </c>
      <c r="G27" s="150">
        <v>0</v>
      </c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241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142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248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194</v>
      </c>
      <c r="C44" s="250">
        <v>0.19021246747798443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237</v>
      </c>
      <c r="C45" s="152">
        <f>IF(C44="","",C44*Exchange_Rate/Dashboard!$G$3)</f>
        <v>1.3432463562114322E-2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234</v>
      </c>
      <c r="C47" s="194" t="s">
        <v>30</v>
      </c>
      <c r="D47" s="194" t="s">
        <v>183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246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245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207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235</v>
      </c>
      <c r="C86" s="197">
        <v>5</v>
      </c>
    </row>
    <row r="87" spans="2:8" ht="13.9" x14ac:dyDescent="0.4">
      <c r="B87" s="10" t="s">
        <v>233</v>
      </c>
      <c r="C87" s="236" t="s">
        <v>236</v>
      </c>
      <c r="D87" s="269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179203592</v>
      </c>
      <c r="D91" s="209"/>
      <c r="E91" s="251">
        <f>C91</f>
        <v>179203592</v>
      </c>
      <c r="F91" s="251">
        <f>C91</f>
        <v>179203592</v>
      </c>
    </row>
    <row r="92" spans="2:8" ht="13.9" x14ac:dyDescent="0.4">
      <c r="B92" s="104" t="s">
        <v>102</v>
      </c>
      <c r="C92" s="77">
        <f>C26</f>
        <v>151788523</v>
      </c>
      <c r="D92" s="159">
        <f>C92/C91</f>
        <v>0.8470171903697109</v>
      </c>
      <c r="E92" s="252">
        <f>E91*D92</f>
        <v>151788523</v>
      </c>
      <c r="F92" s="252">
        <f>F91*D92</f>
        <v>151788523</v>
      </c>
    </row>
    <row r="93" spans="2:8" ht="13.9" x14ac:dyDescent="0.4">
      <c r="B93" s="104" t="s">
        <v>232</v>
      </c>
      <c r="C93" s="77">
        <f>C27+C28</f>
        <v>23852114</v>
      </c>
      <c r="D93" s="159">
        <f>C93/C91</f>
        <v>0.13310064677721414</v>
      </c>
      <c r="E93" s="252">
        <f>E91*D93</f>
        <v>23852114</v>
      </c>
      <c r="F93" s="252">
        <f>F91*D93</f>
        <v>23852114</v>
      </c>
    </row>
    <row r="94" spans="2:8" ht="13.9" x14ac:dyDescent="0.4">
      <c r="B94" s="104" t="s">
        <v>241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231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194</v>
      </c>
      <c r="C98" s="237">
        <f>C44</f>
        <v>0.19021246747798443</v>
      </c>
      <c r="D98" s="266"/>
      <c r="E98" s="254">
        <f>F98</f>
        <v>0.19021246747798443</v>
      </c>
      <c r="F98" s="254">
        <f>C98</f>
        <v>0.19021246747798443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B20" sqref="B2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0175.HK : 吉利汽車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0175.HK</v>
      </c>
      <c r="D3" s="290"/>
      <c r="E3" s="87"/>
      <c r="F3" s="3" t="s">
        <v>1</v>
      </c>
      <c r="G3" s="132">
        <v>15.14</v>
      </c>
      <c r="H3" s="134" t="s">
        <v>269</v>
      </c>
    </row>
    <row r="4" spans="1:10" ht="15.75" customHeight="1" x14ac:dyDescent="0.4">
      <c r="B4" s="35" t="s">
        <v>182</v>
      </c>
      <c r="C4" s="291" t="str">
        <f>Inputs!C5</f>
        <v>吉利汽車</v>
      </c>
      <c r="D4" s="292"/>
      <c r="E4" s="87"/>
      <c r="F4" s="3" t="s">
        <v>2</v>
      </c>
      <c r="G4" s="295">
        <f>Inputs!C10</f>
        <v>10071700480</v>
      </c>
      <c r="H4" s="295"/>
      <c r="I4" s="39"/>
    </row>
    <row r="5" spans="1:10" ht="15.75" customHeight="1" x14ac:dyDescent="0.4">
      <c r="B5" s="3" t="s">
        <v>156</v>
      </c>
      <c r="C5" s="293">
        <f>Inputs!C6</f>
        <v>45633</v>
      </c>
      <c r="D5" s="294"/>
      <c r="E5" s="34"/>
      <c r="F5" s="35" t="s">
        <v>96</v>
      </c>
      <c r="G5" s="287">
        <f>G3*G4/1000000</f>
        <v>152485.54526720001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179</v>
      </c>
      <c r="C7" s="187" t="str">
        <f>Inputs!C8</f>
        <v>N</v>
      </c>
      <c r="D7" s="187" t="str">
        <f>Inputs!C9</f>
        <v>C0006</v>
      </c>
      <c r="E7" s="87"/>
      <c r="F7" s="35" t="s">
        <v>5</v>
      </c>
      <c r="G7" s="133">
        <v>1.0691596666971843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178</v>
      </c>
      <c r="F9" s="143" t="s">
        <v>173</v>
      </c>
    </row>
    <row r="10" spans="1:10" ht="15.75" customHeight="1" x14ac:dyDescent="0.4">
      <c r="B10" s="1" t="s">
        <v>164</v>
      </c>
      <c r="C10" s="172">
        <v>4.2000000000000003E-2</v>
      </c>
      <c r="F10" s="110" t="s">
        <v>171</v>
      </c>
    </row>
    <row r="11" spans="1:10" ht="15.75" customHeight="1" thickBot="1" x14ac:dyDescent="0.45">
      <c r="B11" s="122" t="s">
        <v>168</v>
      </c>
      <c r="C11" s="173">
        <v>5.2299999999999999E-2</v>
      </c>
      <c r="D11" s="137" t="s">
        <v>177</v>
      </c>
      <c r="F11" s="110" t="s">
        <v>166</v>
      </c>
    </row>
    <row r="12" spans="1:10" ht="15.75" customHeight="1" thickTop="1" x14ac:dyDescent="0.4">
      <c r="B12" s="87" t="s">
        <v>238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2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2">
        <v>6.5000000000000002E-2</v>
      </c>
      <c r="F15" s="110" t="s">
        <v>169</v>
      </c>
    </row>
    <row r="16" spans="1:10" ht="15.75" customHeight="1" thickBot="1" x14ac:dyDescent="0.45">
      <c r="B16" s="122" t="s">
        <v>175</v>
      </c>
      <c r="C16" s="173">
        <v>0.16</v>
      </c>
      <c r="D16" s="265" t="str">
        <f>Inputs!C15</f>
        <v>HK</v>
      </c>
      <c r="F16" s="110" t="s">
        <v>167</v>
      </c>
    </row>
    <row r="17" spans="1:8" ht="15.75" customHeight="1" thickTop="1" x14ac:dyDescent="0.4">
      <c r="B17" s="87" t="s">
        <v>239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264</v>
      </c>
      <c r="C19" s="135" t="s">
        <v>48</v>
      </c>
      <c r="D19" s="87"/>
      <c r="E19" s="87"/>
      <c r="F19" s="142" t="s">
        <v>199</v>
      </c>
      <c r="G19" s="87"/>
      <c r="H19" s="87"/>
    </row>
    <row r="20" spans="1:8" ht="15.75" customHeight="1" thickBot="1" x14ac:dyDescent="0.45">
      <c r="B20" s="275" t="s">
        <v>254</v>
      </c>
      <c r="C20" s="276" t="e">
        <f>C23*C22*(1/C21)</f>
        <v>#DIV/0!</v>
      </c>
      <c r="F20" s="87" t="s">
        <v>198</v>
      </c>
      <c r="G20" s="172">
        <v>0.15</v>
      </c>
    </row>
    <row r="21" spans="1:8" ht="15.75" customHeight="1" thickTop="1" x14ac:dyDescent="0.4">
      <c r="B21" s="277" t="s">
        <v>252</v>
      </c>
      <c r="C21" s="278" t="e">
        <f>Data!C55</f>
        <v>#DIV/0!</v>
      </c>
      <c r="F21" s="87"/>
      <c r="G21" s="29"/>
    </row>
    <row r="22" spans="1:8" ht="15.75" customHeight="1" x14ac:dyDescent="0.4">
      <c r="B22" s="279" t="s">
        <v>259</v>
      </c>
      <c r="C22" s="280" t="e">
        <f>Data!C50</f>
        <v>#DIV/0!</v>
      </c>
      <c r="F22" s="142" t="s">
        <v>172</v>
      </c>
    </row>
    <row r="23" spans="1:8" ht="15.75" customHeight="1" thickBot="1" x14ac:dyDescent="0.45">
      <c r="B23" s="281" t="s">
        <v>260</v>
      </c>
      <c r="C23" s="282">
        <f>Data!C13</f>
        <v>1.9882162853074953E-2</v>
      </c>
      <c r="F23" s="140" t="s">
        <v>176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261</v>
      </c>
      <c r="C24" s="171">
        <f>Fin_Analysis!I81</f>
        <v>0</v>
      </c>
      <c r="F24" s="140" t="s">
        <v>244</v>
      </c>
      <c r="G24" s="268">
        <f>G3/(Fin_Analysis!H86*G7)</f>
        <v>53.372126842146628</v>
      </c>
    </row>
    <row r="25" spans="1:8" ht="15.75" customHeight="1" x14ac:dyDescent="0.4">
      <c r="B25" s="137" t="s">
        <v>262</v>
      </c>
      <c r="C25" s="171">
        <f>Fin_Analysis!I80</f>
        <v>0</v>
      </c>
      <c r="F25" s="140" t="s">
        <v>163</v>
      </c>
      <c r="G25" s="171">
        <f>Fin_Analysis!I88</f>
        <v>0.71691914903967835</v>
      </c>
    </row>
    <row r="26" spans="1:8" ht="15.75" customHeight="1" x14ac:dyDescent="0.4">
      <c r="B26" s="138" t="s">
        <v>263</v>
      </c>
      <c r="C26" s="171">
        <f>Fin_Analysis!I80+Fin_Analysis!I82</f>
        <v>0</v>
      </c>
      <c r="F26" s="141" t="s">
        <v>180</v>
      </c>
      <c r="G26" s="178">
        <f>Fin_Analysis!H88*Exchange_Rate/G3</f>
        <v>1.3432463562114322E-2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159</v>
      </c>
      <c r="D28" s="43" t="s">
        <v>160</v>
      </c>
      <c r="E28" s="58"/>
      <c r="F28" s="53" t="s">
        <v>224</v>
      </c>
      <c r="G28" s="285" t="s">
        <v>242</v>
      </c>
      <c r="H28" s="285"/>
    </row>
    <row r="29" spans="1:8" ht="15.75" customHeight="1" x14ac:dyDescent="0.4">
      <c r="B29" s="87" t="s">
        <v>161</v>
      </c>
      <c r="C29" s="130">
        <f>IF(Fin_Analysis!C108="Profit",Fin_Analysis!D100,IF(Fin_Analysis!C108="Dividend",Fin_Analysis!D103,Fin_Analysis!D106))</f>
        <v>2.1696935477256218</v>
      </c>
      <c r="D29" s="129">
        <f>G29*(1+G20)</f>
        <v>4.0067427594623082</v>
      </c>
      <c r="E29" s="87"/>
      <c r="F29" s="131">
        <f>IF(Fin_Analysis!C108="Profit",Fin_Analysis!F100,IF(Fin_Analysis!C108="Dividend",Fin_Analysis!F103,Fin_Analysis!F106))</f>
        <v>2.5525806443830845</v>
      </c>
      <c r="G29" s="286">
        <f>IF(Fin_Analysis!C108="Profit",Fin_Analysis!I100,IF(Fin_Analysis!C108="Dividend",Fin_Analysis!I103,Fin_Analysis!I106))</f>
        <v>3.4841241386628772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209</v>
      </c>
      <c r="C31"/>
    </row>
    <row r="32" spans="1:8" ht="15.75" customHeight="1" x14ac:dyDescent="0.4">
      <c r="A32"/>
      <c r="B32" s="196" t="s">
        <v>210</v>
      </c>
      <c r="C32" s="224"/>
    </row>
    <row r="33" spans="1:3" ht="15.75" customHeight="1" x14ac:dyDescent="0.4">
      <c r="A33"/>
      <c r="B33" s="20" t="s">
        <v>211</v>
      </c>
      <c r="C33" s="245" t="str">
        <f>Inputs!C17</f>
        <v>unclear</v>
      </c>
    </row>
    <row r="34" spans="1:3" ht="15.75" customHeight="1" x14ac:dyDescent="0.4">
      <c r="A34"/>
      <c r="B34" s="19" t="s">
        <v>212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213</v>
      </c>
      <c r="C35" s="224"/>
    </row>
    <row r="36" spans="1:3" ht="15.75" customHeight="1" x14ac:dyDescent="0.4">
      <c r="A36"/>
      <c r="B36" s="20" t="s">
        <v>225</v>
      </c>
      <c r="C36" s="245" t="str">
        <f>Inputs!C18</f>
        <v>unclear</v>
      </c>
    </row>
    <row r="37" spans="1:3" ht="15.75" customHeight="1" x14ac:dyDescent="0.4">
      <c r="A37"/>
      <c r="B37" s="20" t="s">
        <v>226</v>
      </c>
      <c r="C37" s="245" t="str">
        <f>Inputs!C19</f>
        <v>unclear</v>
      </c>
    </row>
    <row r="38" spans="1:3" ht="15.75" customHeight="1" x14ac:dyDescent="0.4">
      <c r="A38"/>
      <c r="B38" s="196" t="s">
        <v>214</v>
      </c>
      <c r="C38" s="224"/>
    </row>
    <row r="39" spans="1:3" ht="15.75" customHeight="1" x14ac:dyDescent="0.4">
      <c r="A39"/>
      <c r="B39" s="19" t="s">
        <v>215</v>
      </c>
      <c r="C39" s="245" t="str">
        <f>Inputs!C20</f>
        <v>unclear</v>
      </c>
    </row>
    <row r="40" spans="1:3" ht="15.75" customHeight="1" x14ac:dyDescent="0.4">
      <c r="A40"/>
      <c r="B40" s="1" t="s">
        <v>218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216</v>
      </c>
      <c r="C42"/>
    </row>
    <row r="43" spans="1:3" ht="65.650000000000006" x14ac:dyDescent="0.4">
      <c r="A43"/>
      <c r="B43" s="226" t="s">
        <v>217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186</v>
      </c>
      <c r="F2" s="119" t="s">
        <v>189</v>
      </c>
      <c r="G2" s="148" t="s">
        <v>190</v>
      </c>
      <c r="H2" s="147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187</v>
      </c>
      <c r="F3" s="85" t="str">
        <f>H14</f>
        <v/>
      </c>
      <c r="G3" s="85">
        <f>C14</f>
        <v>3562955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179203592</v>
      </c>
      <c r="D6" s="200">
        <f>IF(Inputs!D25="","",Inputs!D25)</f>
        <v>147964647</v>
      </c>
      <c r="E6" s="200">
        <f>IF(Inputs!E25="","",Inputs!E25)</f>
        <v>101611056</v>
      </c>
      <c r="F6" s="200">
        <f>IF(Inputs!F25="","",Inputs!F25)</f>
        <v>92113878</v>
      </c>
      <c r="G6" s="200">
        <f>IF(Inputs!G25="","",Inputs!G25)</f>
        <v>0</v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0.21112438432675074</v>
      </c>
      <c r="D7" s="92">
        <f t="shared" si="1"/>
        <v>0.45618649017878532</v>
      </c>
      <c r="E7" s="92">
        <f t="shared" si="1"/>
        <v>0.10310257483676888</v>
      </c>
      <c r="F7" s="92" t="e">
        <f t="shared" si="1"/>
        <v>#DIV/0!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151788523</v>
      </c>
      <c r="D8" s="199">
        <f>IF(Inputs!D26="","",Inputs!D26)</f>
        <v>127069010</v>
      </c>
      <c r="E8" s="199">
        <f>IF(Inputs!E26="","",Inputs!E26)</f>
        <v>84198821</v>
      </c>
      <c r="F8" s="199">
        <f>IF(Inputs!F26="","",Inputs!F26)</f>
        <v>77376859</v>
      </c>
      <c r="G8" s="199">
        <f>IF(Inputs!G26="","",Inputs!G26)</f>
        <v>0</v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27415069</v>
      </c>
      <c r="D9" s="151">
        <f t="shared" si="2"/>
        <v>20895637</v>
      </c>
      <c r="E9" s="151">
        <f t="shared" si="2"/>
        <v>17412235</v>
      </c>
      <c r="F9" s="151">
        <f t="shared" si="2"/>
        <v>14737019</v>
      </c>
      <c r="G9" s="151">
        <f t="shared" si="2"/>
        <v>0</v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23852114</v>
      </c>
      <c r="D10" s="199">
        <f>IF(Inputs!D27="","",Inputs!D27)</f>
        <v>18320074</v>
      </c>
      <c r="E10" s="199">
        <f>IF(Inputs!E27="","",Inputs!E27)</f>
        <v>14230292</v>
      </c>
      <c r="F10" s="199">
        <f>IF(Inputs!F27="","",Inputs!F27)</f>
        <v>10798510</v>
      </c>
      <c r="G10" s="199">
        <f>IF(Inputs!G27="","",Inputs!G27)</f>
        <v>0</v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227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228</v>
      </c>
      <c r="C13" s="229">
        <f t="shared" ref="C13:M13" si="3">IF(C14="","",C14/C6)</f>
        <v>1.9882162853074953E-2</v>
      </c>
      <c r="D13" s="229">
        <f t="shared" si="3"/>
        <v>1.7406610648015131E-2</v>
      </c>
      <c r="E13" s="229">
        <f t="shared" si="3"/>
        <v>3.1314928958124398E-2</v>
      </c>
      <c r="F13" s="229">
        <f t="shared" si="3"/>
        <v>4.2756955689130793E-2</v>
      </c>
      <c r="G13" s="229" t="e">
        <f t="shared" si="3"/>
        <v>#DIV/0!</v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220</v>
      </c>
      <c r="C14" s="230">
        <f>IF(C6="","",C9-C10-MAX(C11,0)-MAX(C12,0))</f>
        <v>3562955</v>
      </c>
      <c r="D14" s="230">
        <f t="shared" ref="D14:M14" si="4">IF(D6="","",D9-D10-MAX(D11,0)-MAX(D12,0))</f>
        <v>2575563</v>
      </c>
      <c r="E14" s="230">
        <f t="shared" si="4"/>
        <v>3181943</v>
      </c>
      <c r="F14" s="230">
        <f t="shared" si="4"/>
        <v>3938509</v>
      </c>
      <c r="G14" s="230">
        <f t="shared" si="4"/>
        <v>0</v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229</v>
      </c>
      <c r="C15" s="232">
        <f>IF(D14="","",IF(ABS(C14+D14)=ABS(C14)+ABS(D14),IF(C14&lt;0,-1,1)*(C14-D14)/D14,"Turn"))</f>
        <v>0.38336938370367957</v>
      </c>
      <c r="D15" s="232">
        <f t="shared" ref="D15:M15" si="5">IF(E14="","",IF(ABS(D14+E14)=ABS(D14)+ABS(E14),IF(D14&lt;0,-1,1)*(D14-E14)/E14,"Turn"))</f>
        <v>-0.19056909567518965</v>
      </c>
      <c r="E15" s="232">
        <f t="shared" si="5"/>
        <v>-0.19209452104844751</v>
      </c>
      <c r="F15" s="232" t="e">
        <f t="shared" si="5"/>
        <v>#DIV/0!</v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241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222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 t="e">
        <f t="shared" si="7"/>
        <v>#DIV/0!</v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3562955</v>
      </c>
      <c r="D22" s="161">
        <f t="shared" ref="D22:M22" si="8">IF(D6="","",D14-MAX(D16,0)-MAX(D17,0)-ABS(MAX(D21,0)-MAX(D19,0)))</f>
        <v>2575563</v>
      </c>
      <c r="E22" s="161">
        <f t="shared" si="8"/>
        <v>3181943</v>
      </c>
      <c r="F22" s="161">
        <f t="shared" si="8"/>
        <v>3938509</v>
      </c>
      <c r="G22" s="161">
        <f t="shared" si="8"/>
        <v>0</v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1.4911622139806216E-2</v>
      </c>
      <c r="D23" s="153">
        <f t="shared" si="9"/>
        <v>1.3054957986011348E-2</v>
      </c>
      <c r="E23" s="153">
        <f t="shared" si="9"/>
        <v>2.34861967185933E-2</v>
      </c>
      <c r="F23" s="153">
        <f t="shared" si="9"/>
        <v>3.2067716766848095E-2</v>
      </c>
      <c r="G23" s="153" t="e">
        <f t="shared" si="9"/>
        <v>#DIV/0!</v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2672216.25</v>
      </c>
      <c r="D24" s="77">
        <f>IF(D6="","",D22*(1-Fin_Analysis!$I$84))</f>
        <v>1931672.25</v>
      </c>
      <c r="E24" s="77">
        <f>IF(E6="","",E22*(1-Fin_Analysis!$I$84))</f>
        <v>2386457.25</v>
      </c>
      <c r="F24" s="77">
        <f>IF(F6="","",F22*(1-Fin_Analysis!$I$84))</f>
        <v>2953881.75</v>
      </c>
      <c r="G24" s="77">
        <f>IF(G6="","",G22*(1-Fin_Analysis!$I$84))</f>
        <v>0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0.38336938370367957</v>
      </c>
      <c r="D25" s="233">
        <f t="shared" ref="D25:M25" si="10">IF(E24="","",IF(ABS(D24+E24)=ABS(D24)+ABS(E24),IF(D24&lt;0,-1,1)*(D24-E24)/E24,"Turn"))</f>
        <v>-0.19056909567518965</v>
      </c>
      <c r="E25" s="233">
        <f t="shared" si="10"/>
        <v>-0.19209452104844751</v>
      </c>
      <c r="F25" s="233" t="e">
        <f t="shared" si="10"/>
        <v>#DIV/0!</v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142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150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249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0.8470171903697109</v>
      </c>
      <c r="D42" s="156">
        <f t="shared" si="34"/>
        <v>0.85877952995082674</v>
      </c>
      <c r="E42" s="156">
        <f t="shared" si="34"/>
        <v>0.82863838163437653</v>
      </c>
      <c r="F42" s="156">
        <f t="shared" si="34"/>
        <v>0.84001304342001537</v>
      </c>
      <c r="G42" s="156" t="e">
        <f t="shared" si="34"/>
        <v>#DIV/0!</v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221</v>
      </c>
      <c r="C43" s="153">
        <f t="shared" ref="C43:M43" si="35">IF(C6="","",(C10+MAX(C11,0))/C6)</f>
        <v>0.13310064677721414</v>
      </c>
      <c r="D43" s="153">
        <f t="shared" si="35"/>
        <v>0.12381385940115817</v>
      </c>
      <c r="E43" s="153">
        <f t="shared" si="35"/>
        <v>0.14004668940749912</v>
      </c>
      <c r="F43" s="153">
        <f t="shared" si="35"/>
        <v>0.11723000089085382</v>
      </c>
      <c r="G43" s="153" t="e">
        <f t="shared" si="35"/>
        <v>#DIV/0!</v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 t="e">
        <f t="shared" si="36"/>
        <v>#DIV/0!</v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0</v>
      </c>
      <c r="D45" s="153">
        <f t="shared" si="37"/>
        <v>0</v>
      </c>
      <c r="E45" s="153">
        <f t="shared" si="37"/>
        <v>0</v>
      </c>
      <c r="F45" s="153">
        <f t="shared" si="37"/>
        <v>0</v>
      </c>
      <c r="G45" s="153" t="e">
        <f t="shared" si="37"/>
        <v>#DIV/0!</v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0</v>
      </c>
      <c r="G46" s="153" t="e">
        <f t="shared" si="38"/>
        <v>#DIV/0!</v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223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 t="e">
        <f t="shared" si="39"/>
        <v>#DIV/0!</v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1.9882162853074953E-2</v>
      </c>
      <c r="D48" s="153">
        <f t="shared" si="40"/>
        <v>1.7406610648015131E-2</v>
      </c>
      <c r="E48" s="153">
        <f t="shared" si="40"/>
        <v>3.1314928958124398E-2</v>
      </c>
      <c r="F48" s="153">
        <f t="shared" si="40"/>
        <v>4.2756955689130793E-2</v>
      </c>
      <c r="G48" s="153" t="e">
        <f t="shared" si="40"/>
        <v>#DIV/0!</v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256</v>
      </c>
      <c r="C50" s="272" t="e">
        <f>IF(C6="","",C6/C27)</f>
        <v>#DIV/0!</v>
      </c>
      <c r="D50" s="272" t="e">
        <f t="shared" ref="D50:M50" si="41">IF(D6="","",D6/D27)</f>
        <v>#VALUE!</v>
      </c>
      <c r="E50" s="272" t="e">
        <f t="shared" si="41"/>
        <v>#VALUE!</v>
      </c>
      <c r="F50" s="272" t="e">
        <f t="shared" si="41"/>
        <v>#VALUE!</v>
      </c>
      <c r="G50" s="272" t="e">
        <f t="shared" si="41"/>
        <v>#VALUE!</v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257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258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247</v>
      </c>
      <c r="C53" s="153" t="e">
        <f>IF(D6="","",C16/(C6-D6))</f>
        <v>#VALUE!</v>
      </c>
      <c r="D53" s="153" t="e">
        <f t="shared" ref="D53:M53" si="44">IF(E6="","",D16/(D6-E6))</f>
        <v>#VALUE!</v>
      </c>
      <c r="E53" s="153" t="e">
        <f t="shared" si="44"/>
        <v>#VALUE!</v>
      </c>
      <c r="F53" s="153" t="e">
        <f t="shared" si="44"/>
        <v>#VALUE!</v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251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252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 t="str">
        <f t="shared" ref="C57:M57" si="47">IF(C22="","",IF(MAX(C17,0)&lt;=0,"-",C17/C22))</f>
        <v>-</v>
      </c>
      <c r="D57" s="153" t="str">
        <f t="shared" si="47"/>
        <v>-</v>
      </c>
      <c r="E57" s="153" t="str">
        <f t="shared" si="47"/>
        <v>-</v>
      </c>
      <c r="F57" s="153" t="str">
        <f t="shared" si="47"/>
        <v>-</v>
      </c>
      <c r="G57" s="153" t="str">
        <f t="shared" si="47"/>
        <v>-</v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253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254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e">
        <f t="shared" si="50"/>
        <v>#VALUE!</v>
      </c>
      <c r="F60" s="274" t="e">
        <f t="shared" si="50"/>
        <v>#VALUE!</v>
      </c>
      <c r="G60" s="274" t="e">
        <f t="shared" si="50"/>
        <v>#VALUE!</v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255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e">
        <f t="shared" si="51"/>
        <v>#VALUE!</v>
      </c>
      <c r="F61" s="274" t="e">
        <f t="shared" si="51"/>
        <v>#VALUE!</v>
      </c>
      <c r="G61" s="274" t="e">
        <f t="shared" si="51"/>
        <v>#VALUE!</v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183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151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144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145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122</v>
      </c>
      <c r="C74" s="77">
        <f>Data!C6</f>
        <v>179203592</v>
      </c>
      <c r="D74" s="209"/>
      <c r="E74" s="238">
        <f>Inputs!E91</f>
        <v>179203592</v>
      </c>
      <c r="F74" s="209"/>
      <c r="H74" s="238">
        <f>Inputs!F91</f>
        <v>179203592</v>
      </c>
      <c r="I74" s="209"/>
      <c r="K74" s="24"/>
    </row>
    <row r="75" spans="1:11" ht="15" customHeight="1" x14ac:dyDescent="0.4">
      <c r="B75" s="104" t="s">
        <v>102</v>
      </c>
      <c r="C75" s="77">
        <f>Data!C8</f>
        <v>151788523</v>
      </c>
      <c r="D75" s="159">
        <f>C75/$C$74</f>
        <v>0.8470171903697109</v>
      </c>
      <c r="E75" s="238">
        <f>Inputs!E92</f>
        <v>151788523</v>
      </c>
      <c r="F75" s="160">
        <f>E75/E74</f>
        <v>0.8470171903697109</v>
      </c>
      <c r="H75" s="238">
        <f>Inputs!F92</f>
        <v>151788523</v>
      </c>
      <c r="I75" s="160">
        <f>H75/$H$74</f>
        <v>0.8470171903697109</v>
      </c>
      <c r="K75" s="24"/>
    </row>
    <row r="76" spans="1:11" ht="15" customHeight="1" x14ac:dyDescent="0.4">
      <c r="B76" s="35" t="s">
        <v>92</v>
      </c>
      <c r="C76" s="161">
        <f>C74-C75</f>
        <v>27415069</v>
      </c>
      <c r="D76" s="210"/>
      <c r="E76" s="162">
        <f>E74-E75</f>
        <v>27415069</v>
      </c>
      <c r="F76" s="210"/>
      <c r="H76" s="162">
        <f>H74-H75</f>
        <v>27415069</v>
      </c>
      <c r="I76" s="210"/>
      <c r="K76" s="24"/>
    </row>
    <row r="77" spans="1:11" ht="15" customHeight="1" x14ac:dyDescent="0.4">
      <c r="B77" s="104" t="s">
        <v>232</v>
      </c>
      <c r="C77" s="77">
        <f>Data!C10+MAX(Data!C11,0)</f>
        <v>23852114</v>
      </c>
      <c r="D77" s="159">
        <f>C77/$C$74</f>
        <v>0.13310064677721414</v>
      </c>
      <c r="E77" s="238">
        <f>Inputs!E93</f>
        <v>23852114</v>
      </c>
      <c r="F77" s="160">
        <f>E77/E74</f>
        <v>0.13310064677721414</v>
      </c>
      <c r="H77" s="238">
        <f>Inputs!F93</f>
        <v>23852114</v>
      </c>
      <c r="I77" s="160">
        <f>H77/$H$74</f>
        <v>0.13310064677721414</v>
      </c>
      <c r="K77" s="24"/>
    </row>
    <row r="78" spans="1:11" ht="15" customHeight="1" x14ac:dyDescent="0.4">
      <c r="B78" s="73" t="s">
        <v>162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219</v>
      </c>
      <c r="C79" s="257">
        <f>C76-C77-C78</f>
        <v>3562955</v>
      </c>
      <c r="D79" s="258">
        <f>C79/C74</f>
        <v>1.9882162853074953E-2</v>
      </c>
      <c r="E79" s="259">
        <f>E76-E77-E78</f>
        <v>3562955</v>
      </c>
      <c r="F79" s="258">
        <f>E79/E74</f>
        <v>1.9882162853074953E-2</v>
      </c>
      <c r="G79" s="260"/>
      <c r="H79" s="259">
        <f>H76-H77-H78</f>
        <v>3562955</v>
      </c>
      <c r="I79" s="258">
        <f>H79/H74</f>
        <v>1.9882162853074953E-2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241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231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3562955</v>
      </c>
      <c r="D83" s="164">
        <f>C83/$C$74</f>
        <v>1.9882162853074953E-2</v>
      </c>
      <c r="E83" s="165">
        <f>E79-E81-E82-E80</f>
        <v>3562955</v>
      </c>
      <c r="F83" s="164">
        <f>E83/E74</f>
        <v>1.9882162853074953E-2</v>
      </c>
      <c r="H83" s="165">
        <f>H79-H81-H82-H80</f>
        <v>3562955</v>
      </c>
      <c r="I83" s="164">
        <f>H83/$H$74</f>
        <v>1.9882162853074953E-2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157</v>
      </c>
      <c r="C85" s="257">
        <f>C83*(1-I84)</f>
        <v>2672216.25</v>
      </c>
      <c r="D85" s="258">
        <f>C85/$C$74</f>
        <v>1.4911622139806216E-2</v>
      </c>
      <c r="E85" s="264">
        <f>E83*(1-F84)</f>
        <v>2672216.25</v>
      </c>
      <c r="F85" s="258">
        <f>E85/E74</f>
        <v>1.4911622139806216E-2</v>
      </c>
      <c r="G85" s="260"/>
      <c r="H85" s="264">
        <f>H83*(1-I84)</f>
        <v>2672216.25</v>
      </c>
      <c r="I85" s="258">
        <f>H85/$H$74</f>
        <v>1.4911622139806216E-2</v>
      </c>
      <c r="K85" s="24"/>
    </row>
    <row r="86" spans="1:11" ht="15" customHeight="1" x14ac:dyDescent="0.4">
      <c r="B86" s="87" t="s">
        <v>153</v>
      </c>
      <c r="C86" s="167">
        <f>C85*Data!C4/Common_Shares</f>
        <v>0.26531927307671482</v>
      </c>
      <c r="D86" s="209"/>
      <c r="E86" s="168">
        <f>E85*Data!C4/Common_Shares</f>
        <v>0.26531927307671482</v>
      </c>
      <c r="F86" s="209"/>
      <c r="H86" s="168">
        <f>H85*Data!C4/Common_Shares</f>
        <v>0.26531927307671482</v>
      </c>
      <c r="I86" s="209"/>
      <c r="K86" s="24"/>
    </row>
    <row r="87" spans="1:11" ht="15" customHeight="1" x14ac:dyDescent="0.4">
      <c r="B87" s="87" t="s">
        <v>195</v>
      </c>
      <c r="C87" s="261">
        <f>C86*Exchange_Rate/Dashboard!G3</f>
        <v>1.8736371570081879E-2</v>
      </c>
      <c r="D87" s="209"/>
      <c r="E87" s="262">
        <f>E86*Exchange_Rate/Dashboard!G3</f>
        <v>1.8736371570081879E-2</v>
      </c>
      <c r="F87" s="209"/>
      <c r="H87" s="262">
        <f>H86*Exchange_Rate/Dashboard!G3</f>
        <v>1.8736371570081879E-2</v>
      </c>
      <c r="I87" s="209"/>
      <c r="K87" s="24"/>
    </row>
    <row r="88" spans="1:11" ht="15" customHeight="1" x14ac:dyDescent="0.4">
      <c r="B88" s="86" t="s">
        <v>194</v>
      </c>
      <c r="C88" s="169">
        <f>Inputs!C44</f>
        <v>0.19021246747798443</v>
      </c>
      <c r="D88" s="166">
        <f>C88/C86</f>
        <v>0.71691914903967835</v>
      </c>
      <c r="E88" s="170">
        <f>Inputs!E98</f>
        <v>0.19021246747798443</v>
      </c>
      <c r="F88" s="166">
        <f>E88/E86</f>
        <v>0.71691914903967835</v>
      </c>
      <c r="H88" s="170">
        <f>Inputs!F98</f>
        <v>0.19021246747798443</v>
      </c>
      <c r="I88" s="166">
        <f>H88/H86</f>
        <v>0.71691914903967835</v>
      </c>
      <c r="K88" s="24"/>
    </row>
    <row r="89" spans="1:11" ht="15" customHeight="1" x14ac:dyDescent="0.4">
      <c r="B89" s="87" t="s">
        <v>208</v>
      </c>
      <c r="C89" s="261">
        <f>C88*Exchange_Rate/Dashboard!G3</f>
        <v>1.3432463562114322E-2</v>
      </c>
      <c r="D89" s="209"/>
      <c r="E89" s="261">
        <f>E88*Exchange_Rate/Dashboard!G3</f>
        <v>1.3432463562114322E-2</v>
      </c>
      <c r="F89" s="209"/>
      <c r="H89" s="261">
        <f>H88*Exchange_Rate/Dashboard!G3</f>
        <v>1.3432463562114322E-2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8" t="str">
        <f>Inputs!C15</f>
        <v>HK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196</v>
      </c>
      <c r="F93" s="144">
        <f>FV(E87,D93,0,-(E86/(C93-D94)))*Exchange_Rate</f>
        <v>5.1341514257532967</v>
      </c>
      <c r="H93" s="87" t="s">
        <v>196</v>
      </c>
      <c r="I93" s="144">
        <f>FV(H87,D93,0,-(H86/(C93-D94)))*Exchange_Rate</f>
        <v>5.1341514257532967</v>
      </c>
      <c r="K93" s="24"/>
    </row>
    <row r="94" spans="1:11" ht="15" customHeight="1" x14ac:dyDescent="0.4">
      <c r="B94" s="1" t="s">
        <v>198</v>
      </c>
      <c r="C94" s="182">
        <f>Dashboard!G20</f>
        <v>0.15</v>
      </c>
      <c r="D94" s="270">
        <f>Inputs!D87</f>
        <v>0.02</v>
      </c>
      <c r="E94" s="87" t="s">
        <v>197</v>
      </c>
      <c r="F94" s="144">
        <f>FV(E89,D93,0,-(E88/(C93-D94)))*Exchange_Rate</f>
        <v>3.5859469052348376</v>
      </c>
      <c r="H94" s="87" t="s">
        <v>197</v>
      </c>
      <c r="I94" s="144">
        <f>FV(H89,D93,0,-(H88/(C93-D94)))*Exchange_Rate</f>
        <v>3.5859469052348376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200</v>
      </c>
      <c r="E96" s="183" t="str">
        <f>E72</f>
        <v>Pessimistic Case</v>
      </c>
      <c r="F96" s="227" t="s">
        <v>224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25708827.701271821</v>
      </c>
      <c r="D97" s="213"/>
      <c r="E97" s="123">
        <f>PV(C94,D93,0,-F93)</f>
        <v>2.5525806443830845</v>
      </c>
      <c r="F97" s="213"/>
      <c r="H97" s="123">
        <f>PV(C94,D93,0,-I93)</f>
        <v>2.5525806443830845</v>
      </c>
      <c r="I97" s="123">
        <f>PV(C93,D93,0,-I93)</f>
        <v>3.4841241386628772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25708827.701271821</v>
      </c>
      <c r="D100" s="109">
        <f>MIN(F100*(1-C94),E100)</f>
        <v>2.1696935477256218</v>
      </c>
      <c r="E100" s="109">
        <f>MAX(E97+H98+E99,0)</f>
        <v>2.5525806443830845</v>
      </c>
      <c r="F100" s="109">
        <f>(E100+H100)/2</f>
        <v>2.5525806443830845</v>
      </c>
      <c r="H100" s="109">
        <f>MAX(C100*Data!$C$4/Common_Shares,0)</f>
        <v>2.5525806443830845</v>
      </c>
      <c r="I100" s="109">
        <f>MAX(I97+H98+H99,0)</f>
        <v>3.4841241386628772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7" t="str">
        <f>C96</f>
        <v>HKD</v>
      </c>
      <c r="D102" s="124" t="s">
        <v>200</v>
      </c>
      <c r="E102" s="183" t="str">
        <f>E96</f>
        <v>Pessimistic Case</v>
      </c>
      <c r="F102" s="227" t="s">
        <v>224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154</v>
      </c>
      <c r="C103" s="91">
        <f>H103*Common_Shares/Data!C4</f>
        <v>17956324.908953167</v>
      </c>
      <c r="D103" s="109">
        <f>MIN(F103*(1-C94),E103)</f>
        <v>1.5154219690030133</v>
      </c>
      <c r="E103" s="123">
        <f>PV(C94,D93,0,-F94)</f>
        <v>1.7828493752976626</v>
      </c>
      <c r="F103" s="109">
        <f>(E103+H103)/2</f>
        <v>1.7828493752976626</v>
      </c>
      <c r="H103" s="123">
        <f>PV(C94,D93,0,-I94)</f>
        <v>1.7828493752976626</v>
      </c>
      <c r="I103" s="109">
        <f>PV(C93,D93,0,-I94)</f>
        <v>2.4334857187541954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7" t="str">
        <f>C102</f>
        <v>HKD</v>
      </c>
      <c r="D105" s="124" t="s">
        <v>200</v>
      </c>
      <c r="E105" s="184" t="str">
        <f>E96</f>
        <v>Pessimistic Case</v>
      </c>
      <c r="F105" s="227" t="s">
        <v>224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185</v>
      </c>
      <c r="C106" s="91">
        <f>E106*Common_Shares/Data!C4</f>
        <v>21832576.305112496</v>
      </c>
      <c r="D106" s="109">
        <f>(D100+D103)/2</f>
        <v>1.8425577583643176</v>
      </c>
      <c r="E106" s="123">
        <f>(E100+E103)/2</f>
        <v>2.1677150098403737</v>
      </c>
      <c r="F106" s="109">
        <f>(F100+F103)/2</f>
        <v>2.1677150098403737</v>
      </c>
      <c r="H106" s="123">
        <f>(H100+H103)/2</f>
        <v>2.1677150098403737</v>
      </c>
      <c r="I106" s="123">
        <f>(I100+I103)/2</f>
        <v>2.9588049287085365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2024-12-16T06:43:31Z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