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CD541BA-CDF5-4459-814F-E8018802883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B7" i="3"/>
  <c r="M53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E53" i="2"/>
  <c r="F50" i="2"/>
  <c r="F53" i="2"/>
  <c r="G50" i="2"/>
  <c r="J53" i="2"/>
  <c r="K50" i="2"/>
  <c r="I53" i="2"/>
  <c r="J50" i="2"/>
  <c r="G53" i="2"/>
  <c r="H50" i="2"/>
  <c r="D53" i="2"/>
  <c r="E50" i="2"/>
  <c r="C53" i="2"/>
  <c r="H53" i="2"/>
  <c r="I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L15" i="2"/>
  <c r="M60" i="2"/>
  <c r="G22" i="2"/>
  <c r="G61" i="2" s="1"/>
  <c r="G60" i="2"/>
  <c r="E22" i="2"/>
  <c r="E61" i="2" s="1"/>
  <c r="E60" i="2"/>
  <c r="D22" i="2"/>
  <c r="D61" i="2" s="1"/>
  <c r="D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<sst xmlns="http://schemas.openxmlformats.org/spreadsheetml/2006/main" count="393" uniqueCount="271">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</sst>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4319334000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6.0838911328814312E-2</v>
      </c>
      <c r="D45" s="152">
        <f>IF(D44="","",D44*Exchange_Rate/Dashboard!$G$3)</f>
        <v>4.8656797164034066E-2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102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232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241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231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0220.HK</v>
      </c>
      <c r="D3" s="290"/>
      <c r="E3" s="87"/>
      <c r="F3" s="3" t="s">
        <v>1</v>
      </c>
      <c r="G3" s="132">
        <v>7.46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统一中国</v>
      </c>
      <c r="D4" s="292"/>
      <c r="E4" s="87"/>
      <c r="F4" s="3" t="s">
        <v>2</v>
      </c>
      <c r="G4" s="295">
        <f>Inputs!C10</f>
        <v>4319334000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32222.231640000002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4.7844427762585302E-2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2.0677989446499247E-3</v>
      </c>
      <c r="F24" s="140" t="s">
        <v>244</v>
      </c>
      <c r="G24" s="268">
        <f>G3/(Fin_Analysis!H86*G7)</f>
        <v>31.364735872241184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1.9081963845829624</v>
      </c>
    </row>
    <row r="26" spans="1:8" ht="15.75" customHeight="1" x14ac:dyDescent="0.4">
      <c r="B26" s="138" t="s">
        <v>264</v>
      </c>
      <c r="C26" s="171">
        <f>Fin_Analysis!I80+Fin_Analysis!I82</f>
        <v>9.6644881579416319E-4</v>
      </c>
      <c r="F26" s="141" t="s">
        <v>180</v>
      </c>
      <c r="G26" s="178">
        <f>Fin_Analysis!H88*Exchange_Rate/G3</f>
        <v>6.0838911328814312E-2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1.7749789074952951</v>
      </c>
      <c r="D29" s="129">
        <f>G29*(1+G20)</f>
        <v>3.1938341901068106</v>
      </c>
      <c r="E29" s="87"/>
      <c r="F29" s="131">
        <f>IF(Fin_Analysis!C108="Profit",Fin_Analysis!F100,IF(Fin_Analysis!C108="Dividend",Fin_Analysis!F103,Fin_Analysis!F106))</f>
        <v>2.0882104794062295</v>
      </c>
      <c r="G29" s="286">
        <f>IF(Fin_Analysis!C108="Profit",Fin_Analysis!I100,IF(Fin_Analysis!C108="Dividend",Fin_Analysis!I103,Fin_Analysis!I106))</f>
        <v>2.7772471218320094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-1.9819763418893539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4.6145740645342576E-2</v>
      </c>
      <c r="D57" s="153">
        <f t="shared" si="47"/>
        <v>-0.32792445265558884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92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121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153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3.1882940257278961E-2</v>
      </c>
      <c r="D87" s="209"/>
      <c r="E87" s="262">
        <f>E86*Exchange_Rate/Dashboard!G3</f>
        <v>3.1882940257278961E-2</v>
      </c>
      <c r="F87" s="209"/>
      <c r="H87" s="262">
        <f>H86*Exchange_Rate/Dashboard!G3</f>
        <v>3.1882940257278961E-2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208</v>
      </c>
      <c r="C89" s="261">
        <f>C88*Exchange_Rate/Dashboard!G3</f>
        <v>6.0838911328814312E-2</v>
      </c>
      <c r="D89" s="209"/>
      <c r="E89" s="261">
        <f>E88*Exchange_Rate/Dashboard!G3</f>
        <v>6.0838911328814312E-2</v>
      </c>
      <c r="F89" s="209"/>
      <c r="H89" s="261">
        <f>H88*Exchange_Rate/Dashboard!G3</f>
        <v>6.0838911328814312E-2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4.2001371567665391</v>
      </c>
      <c r="H93" s="87" t="s">
        <v>196</v>
      </c>
      <c r="I93" s="144">
        <f>FV(H87,D93,0,-(H86/(C93-D94)))*Exchange_Rate</f>
        <v>4.2001371567665391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9.2041054312426098</v>
      </c>
      <c r="H94" s="87" t="s">
        <v>197</v>
      </c>
      <c r="I94" s="144">
        <f>FV(H89,D93,0,-(H88/(C93-D94)))*Exchange_Rate</f>
        <v>9.2041054312426098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9019678.5228556264</v>
      </c>
      <c r="D97" s="213"/>
      <c r="E97" s="123">
        <f>PV(C94,D93,0,-F93)</f>
        <v>2.0882104794062295</v>
      </c>
      <c r="F97" s="213"/>
      <c r="H97" s="123">
        <f>PV(C94,D93,0,-I93)</f>
        <v>2.0882104794062295</v>
      </c>
      <c r="I97" s="123">
        <f>PV(C93,D93,0,-I93)</f>
        <v>2.7772471218320094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9019678.5228556264</v>
      </c>
      <c r="D100" s="109">
        <f>MIN(F100*(1-C94),E100)</f>
        <v>1.7749789074952951</v>
      </c>
      <c r="E100" s="109">
        <f>MAX(E97+H98+E99,0)</f>
        <v>2.0882104794062295</v>
      </c>
      <c r="F100" s="109">
        <f>(E100+H100)/2</f>
        <v>2.0882104794062295</v>
      </c>
      <c r="H100" s="109">
        <f>MAX(C100*Data!$C$4/Common_Shares,0)</f>
        <v>2.0882104794062295</v>
      </c>
      <c r="I100" s="109">
        <f>MAX(I97+H98+H99,0)</f>
        <v>2.7772471218320094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19765562.166591</v>
      </c>
      <c r="D103" s="109">
        <f>MIN(F103*(1-C94),E103)</f>
        <v>3.8896570261994903</v>
      </c>
      <c r="E103" s="123">
        <f>PV(C94,D93,0,-F94)</f>
        <v>4.5760670896464593</v>
      </c>
      <c r="F103" s="109">
        <f>(E103+H103)/2</f>
        <v>4.5760670896464593</v>
      </c>
      <c r="H103" s="123">
        <f>PV(C94,D93,0,-I94)</f>
        <v>4.5760670896464593</v>
      </c>
      <c r="I103" s="109">
        <f>PV(C93,D93,0,-I94)</f>
        <v>6.086009662035841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14392620.344723312</v>
      </c>
      <c r="D106" s="109">
        <f>(D100+D103)/2</f>
        <v>2.8323179668473926</v>
      </c>
      <c r="E106" s="123">
        <f>(E100+E103)/2</f>
        <v>3.3321387845263444</v>
      </c>
      <c r="F106" s="109">
        <f>(F100+F103)/2</f>
        <v>3.3321387845263444</v>
      </c>
      <c r="H106" s="123">
        <f>(H100+H103)/2</f>
        <v>3.3321387845263444</v>
      </c>
      <c r="I106" s="123">
        <f>(I100+I103)/2</f>
        <v>4.4316283919339252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