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45FAB0-6130-419A-B5DC-C7E355DD30B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2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I27" i="2"/>
  <c r="I50" i="2" s="1"/>
  <c r="I55" i="2"/>
  <c r="J27" i="2"/>
  <c r="J50" i="2" s="1"/>
  <c r="J55" i="2"/>
  <c r="J53" i="2"/>
  <c r="K50" i="2"/>
  <c r="H53" i="2"/>
  <c r="K53" i="2"/>
  <c r="L50" i="2"/>
  <c r="G53" i="2"/>
  <c r="H50" i="2"/>
  <c r="E53" i="2"/>
  <c r="F53" i="2"/>
  <c r="D53" i="2"/>
  <c r="E50" i="2"/>
  <c r="C53" i="2"/>
  <c r="D50" i="2"/>
  <c r="I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47" i="2"/>
  <c r="J47" i="2"/>
  <c r="F47" i="2"/>
  <c r="C47" i="2"/>
  <c r="M22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G50" i="2" l="1"/>
  <c r="F50" i="2"/>
  <c r="J60" i="2"/>
  <c r="J22" i="2"/>
  <c r="J61" i="2" s="1"/>
  <c r="I60" i="2"/>
  <c r="I22" i="2"/>
  <c r="I61" i="2" s="1"/>
  <c r="E22" i="2"/>
  <c r="E61" i="2" s="1"/>
  <c r="E60" i="2"/>
  <c r="F22" i="2"/>
  <c r="F61" i="2" s="1"/>
  <c r="F60" i="2"/>
  <c r="K15" i="2"/>
  <c r="L60" i="2"/>
  <c r="L15" i="2"/>
  <c r="M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D15" i="2"/>
  <c r="E15" i="2"/>
  <c r="K13" i="2"/>
  <c r="E13" i="2"/>
  <c r="E59" i="2" s="1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E57" i="2"/>
  <c r="G57" i="2"/>
  <c r="M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1" i="2"/>
  <c r="C60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<sst xmlns="http://schemas.openxmlformats.org/spreadsheetml/2006/main" count="393" uniqueCount="273">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</sst>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265</v>
      </c>
    </row>
    <row r="5" spans="1:5" ht="13.9" x14ac:dyDescent="0.4">
      <c r="B5" s="141" t="s">
        <v>183</v>
      </c>
      <c r="C5" s="191" t="s">
        <v>266</v>
      </c>
    </row>
    <row r="6" spans="1:5" ht="13.9" x14ac:dyDescent="0.4">
      <c r="B6" s="141" t="s">
        <v>157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267</v>
      </c>
      <c r="E8" s="267"/>
    </row>
    <row r="9" spans="1:5" ht="13.9" x14ac:dyDescent="0.4">
      <c r="B9" s="140" t="s">
        <v>204</v>
      </c>
      <c r="C9" s="192" t="s">
        <v>231</v>
      </c>
    </row>
    <row r="10" spans="1:5" ht="13.9" x14ac:dyDescent="0.4">
      <c r="B10" s="140" t="s">
        <v>205</v>
      </c>
      <c r="C10" s="193">
        <v>487358224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45382</v>
      </c>
    </row>
    <row r="15" spans="1:5" ht="13.9" x14ac:dyDescent="0.4">
      <c r="B15" s="218" t="s">
        <v>241</v>
      </c>
      <c r="C15" s="176" t="s">
        <v>178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232</v>
      </c>
      <c r="D18" s="24"/>
    </row>
    <row r="19" spans="2:13" ht="13.9" x14ac:dyDescent="0.4">
      <c r="B19" s="240" t="s">
        <v>227</v>
      </c>
      <c r="C19" s="242" t="s">
        <v>269</v>
      </c>
      <c r="D19" s="24"/>
    </row>
    <row r="20" spans="2:13" ht="13.9" x14ac:dyDescent="0.4">
      <c r="B20" s="241" t="s">
        <v>216</v>
      </c>
      <c r="C20" s="242" t="s">
        <v>269</v>
      </c>
      <c r="D20" s="24"/>
    </row>
    <row r="21" spans="2:13" ht="13.9" x14ac:dyDescent="0.4">
      <c r="B21" s="224" t="s">
        <v>219</v>
      </c>
      <c r="C21" s="242" t="s">
        <v>269</v>
      </c>
      <c r="D21" s="24"/>
    </row>
    <row r="22" spans="2:13" ht="78.75" x14ac:dyDescent="0.4">
      <c r="B22" s="226" t="s">
        <v>218</v>
      </c>
      <c r="C22" s="243" t="s">
        <v>270</v>
      </c>
      <c r="D22" s="24"/>
    </row>
    <row r="24" spans="2:13" ht="13.9" x14ac:dyDescent="0.4">
      <c r="B24" s="115" t="s">
        <v>130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103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101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108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8.0211081794195255E-2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236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237</v>
      </c>
      <c r="C86" s="197">
        <v>5</v>
      </c>
    </row>
    <row r="87" spans="2:8" ht="13.9" x14ac:dyDescent="0.4">
      <c r="B87" s="10" t="s">
        <v>235</v>
      </c>
      <c r="C87" s="236" t="s">
        <v>271</v>
      </c>
      <c r="D87" s="269">
        <v>0.02</v>
      </c>
    </row>
    <row r="89" spans="2:8" ht="13.5" x14ac:dyDescent="0.35">
      <c r="B89" s="106" t="s">
        <v>124</v>
      </c>
      <c r="C89" s="283">
        <f>C24</f>
        <v>45382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103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234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242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233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195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0398.HK</v>
      </c>
      <c r="D3" s="290"/>
      <c r="E3" s="87"/>
      <c r="F3" s="3" t="s">
        <v>1</v>
      </c>
      <c r="G3" s="132">
        <v>3.79</v>
      </c>
      <c r="H3" s="134" t="s">
        <v>272</v>
      </c>
    </row>
    <row r="4" spans="1:10" ht="15.75" customHeight="1" x14ac:dyDescent="0.4">
      <c r="B4" s="35" t="s">
        <v>183</v>
      </c>
      <c r="C4" s="291" t="str">
        <f>Inputs!C5</f>
        <v>東方表行集團</v>
      </c>
      <c r="D4" s="292"/>
      <c r="E4" s="87"/>
      <c r="F4" s="3" t="s">
        <v>3</v>
      </c>
      <c r="G4" s="295">
        <f>Inputs!C10</f>
        <v>487358224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45619</v>
      </c>
      <c r="D5" s="294"/>
      <c r="E5" s="34"/>
      <c r="F5" s="35" t="s">
        <v>97</v>
      </c>
      <c r="G5" s="287">
        <f>G3*G4/1000000</f>
        <v>1847.08766896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260</v>
      </c>
      <c r="C23" s="282">
        <f>Data!C13</f>
        <v>9.70494144797025E-2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3.7548526172941428E-3</v>
      </c>
      <c r="F24" s="140" t="s">
        <v>244</v>
      </c>
      <c r="G24" s="268">
        <f>G3/(Fin_Analysis!H86*G7)</f>
        <v>9.0683183067253523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164</v>
      </c>
      <c r="G25" s="171">
        <f>Fin_Analysis!I88</f>
        <v>0.5819036971492364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181</v>
      </c>
      <c r="G26" s="178">
        <f>Fin_Analysis!H88*Exchange_Rate/G3</f>
        <v>6.4168865435356201E-2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2.1669367510452551</v>
      </c>
      <c r="D29" s="129">
        <f>G29*(1+G20)</f>
        <v>4.2725519203240783</v>
      </c>
      <c r="E29" s="87"/>
      <c r="F29" s="131">
        <f>IF(Fin_Analysis!C108="Profit",Fin_Analysis!F100,IF(Fin_Analysis!C108="Dividend",Fin_Analysis!F103,Fin_Analysis!F106))</f>
        <v>2.5493373541708886</v>
      </c>
      <c r="G29" s="286">
        <f>IF(Fin_Analysis!C108="Profit",Fin_Analysis!I100,IF(Fin_Analysis!C108="Dividend",Fin_Analysis!I103,Fin_Analysis!I106))</f>
        <v>3.7152625394122425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188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130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e">
        <f t="shared" si="41"/>
        <v>#VALUE!</v>
      </c>
      <c r="J50" s="272" t="e">
        <f t="shared" si="41"/>
        <v>#VALUE!</v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e">
        <f t="shared" si="44"/>
        <v>#VALUE!</v>
      </c>
      <c r="I53" s="153" t="e">
        <f t="shared" si="44"/>
        <v>#VALUE!</v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4.0247282824821366E-2</v>
      </c>
      <c r="D57" s="153">
        <f t="shared" si="47"/>
        <v>3.7088804656829566E-2</v>
      </c>
      <c r="E57" s="153">
        <f t="shared" si="47"/>
        <v>2.8698240375488321E-2</v>
      </c>
      <c r="F57" s="153">
        <f t="shared" si="47"/>
        <v>3.307625725761746E-2</v>
      </c>
      <c r="G57" s="153">
        <f t="shared" si="47"/>
        <v>0.10051353148386549</v>
      </c>
      <c r="H57" s="153">
        <f t="shared" si="47"/>
        <v>1.5611676482073268E-2</v>
      </c>
      <c r="I57" s="153">
        <f t="shared" si="47"/>
        <v>1.49612371636157E-2</v>
      </c>
      <c r="J57" s="153">
        <f t="shared" si="47"/>
        <v>1.3698127065736321</v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e">
        <f t="shared" si="50"/>
        <v>#VALUE!</v>
      </c>
      <c r="J60" s="274" t="e">
        <f t="shared" si="50"/>
        <v>#VALUE!</v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e">
        <f t="shared" si="51"/>
        <v>#VALUE!</v>
      </c>
      <c r="J61" s="274" t="e">
        <f t="shared" si="51"/>
        <v>#VALUE!</v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45382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103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93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234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163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220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233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154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0.13784253681004552</v>
      </c>
      <c r="D87" s="209"/>
      <c r="E87" s="262">
        <f>E86*Exchange_Rate/Dashboard!G3</f>
        <v>9.6489775767031924E-2</v>
      </c>
      <c r="F87" s="209"/>
      <c r="H87" s="262">
        <f>H86*Exchange_Rate/Dashboard!G3</f>
        <v>0.11027402944803649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209</v>
      </c>
      <c r="C89" s="261">
        <f>C88*Exchange_Rate/Dashboard!G3</f>
        <v>8.0211081794195255E-2</v>
      </c>
      <c r="D89" s="209"/>
      <c r="E89" s="261">
        <f>E88*Exchange_Rate/Dashboard!G3</f>
        <v>5.7751978891820578E-2</v>
      </c>
      <c r="F89" s="209"/>
      <c r="H89" s="261">
        <f>H88*Exchange_Rate/Dashboard!G3</f>
        <v>6.4168865435356201E-2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9.5607439588613481</v>
      </c>
      <c r="H93" s="87" t="s">
        <v>197</v>
      </c>
      <c r="I93" s="144">
        <f>FV(H87,D93,0,-(H86/(C93-D94)))*Exchange_Rate</f>
        <v>11.63085412954832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4.7805026243313691</v>
      </c>
      <c r="H94" s="87" t="s">
        <v>198</v>
      </c>
      <c r="I94" s="144">
        <f>FV(H89,D93,0,-(H88/(C93-D94)))*Exchange_Rate</f>
        <v>5.4747533970163289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2818192.8338771192</v>
      </c>
      <c r="D97" s="213"/>
      <c r="E97" s="123">
        <f>PV(C94,D93,0,-F93)</f>
        <v>4.7533794684895323</v>
      </c>
      <c r="F97" s="213"/>
      <c r="H97" s="123">
        <f>PV(C94,D93,0,-I93)</f>
        <v>5.7825900848594669</v>
      </c>
      <c r="I97" s="123">
        <f>PV(C93,D93,0,-I93)</f>
        <v>7.8928991892911329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2818192.8338771192</v>
      </c>
      <c r="D100" s="109">
        <f>MIN(F100*(1-C94),E100)</f>
        <v>4.4777870601733243</v>
      </c>
      <c r="E100" s="109">
        <f>MAX(E97+H98+E99,0)</f>
        <v>4.7533794684895323</v>
      </c>
      <c r="F100" s="109">
        <f>(E100+H100)/2</f>
        <v>5.2679847766744992</v>
      </c>
      <c r="H100" s="109">
        <f>MAX(C100*Data!$C$4/Common_Shares,0)</f>
        <v>5.7825900848594669</v>
      </c>
      <c r="I100" s="109">
        <f>MAX(I97+H98+H99,0)</f>
        <v>7.8928991892911329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1326550.1070569274</v>
      </c>
      <c r="D103" s="109">
        <f>MIN(F103*(1-C94),E103)</f>
        <v>2.1669367510452551</v>
      </c>
      <c r="E103" s="123">
        <f>PV(C94,D93,0,-F94)</f>
        <v>2.376754687849977</v>
      </c>
      <c r="F103" s="109">
        <f>(E103+H103)/2</f>
        <v>2.5493373541708886</v>
      </c>
      <c r="H103" s="123">
        <f>PV(C94,D93,0,-I94)</f>
        <v>2.7219200204918006</v>
      </c>
      <c r="I103" s="109">
        <f>PV(C93,D93,0,-I94)</f>
        <v>3.7152625394122425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1737464.7596576808</v>
      </c>
      <c r="D106" s="109">
        <f>(D100+D103)/2</f>
        <v>3.3223619056092897</v>
      </c>
      <c r="E106" s="123">
        <f>(E100+E103)/2</f>
        <v>3.5650670781697547</v>
      </c>
      <c r="F106" s="109">
        <f>(F100+F103)/2</f>
        <v>3.9086610654226939</v>
      </c>
      <c r="H106" s="123">
        <f>(H100+H103)/2</f>
        <v>4.2522550526756335</v>
      </c>
      <c r="I106" s="123">
        <f>(I100+I103)/2</f>
        <v>5.8040808643516879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