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D67823-5442-4F05-B12E-01DE0BDB1A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6" i="4" l="1"/>
  <c r="E95" i="4"/>
  <c r="F94" i="4"/>
  <c r="F93" i="4"/>
  <c r="F91" i="4"/>
  <c r="F92" i="4" s="1"/>
  <c r="E91" i="4"/>
  <c r="E93" i="4" s="1"/>
  <c r="D69" i="4"/>
  <c r="D68" i="4"/>
  <c r="C68" i="4"/>
  <c r="D67" i="4"/>
  <c r="C65" i="4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B7" i="3"/>
  <c r="M53" i="2"/>
  <c r="E92" i="4" l="1"/>
  <c r="F97" i="4"/>
  <c r="F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K53" i="2"/>
  <c r="L50" i="2"/>
  <c r="J53" i="2"/>
  <c r="K50" i="2"/>
  <c r="H53" i="2"/>
  <c r="I50" i="2"/>
  <c r="F53" i="2"/>
  <c r="G50" i="2"/>
  <c r="G53" i="2"/>
  <c r="H50" i="2"/>
  <c r="E53" i="2"/>
  <c r="F50" i="2"/>
  <c r="D53" i="2"/>
  <c r="E50" i="2"/>
  <c r="I53" i="2"/>
  <c r="J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D55" i="2"/>
  <c r="F22" i="2"/>
  <c r="F61" i="2" s="1"/>
  <c r="F60" i="2"/>
  <c r="K15" i="2"/>
  <c r="L60" i="2"/>
  <c r="J15" i="2"/>
  <c r="K60" i="2"/>
  <c r="E22" i="2"/>
  <c r="E61" i="2" s="1"/>
  <c r="E60" i="2"/>
  <c r="D22" i="2"/>
  <c r="D61" i="2" s="1"/>
  <c r="D60" i="2"/>
  <c r="L15" i="2"/>
  <c r="M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E59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<sst xmlns="http://schemas.openxmlformats.org/spreadsheetml/2006/main" count="393" uniqueCount="273">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</sst>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9267407258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270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271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3.4/Exchange_Rate</f>
        <v>3.1800675856985672</v>
      </c>
      <c r="D44" s="250">
        <f>2.4/Exchange_Rate</f>
        <v>2.2447535899048709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8.3785115820601275E-3</v>
      </c>
      <c r="D45" s="152">
        <f>IF(D44="","",D44*Exchange_Rate/Dashboard!$G$3)</f>
        <v>5.9142434696895022E-3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131</v>
      </c>
      <c r="C49" s="59">
        <v>3408</v>
      </c>
      <c r="D49" s="60">
        <v>0.8</v>
      </c>
      <c r="E49" s="112"/>
    </row>
    <row r="50" spans="2:5" ht="13.9" x14ac:dyDescent="0.4">
      <c r="B50" s="3" t="s">
        <v>113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40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>
        <v>92844</v>
      </c>
      <c r="D54" s="60">
        <v>0.1</v>
      </c>
      <c r="E54" s="112"/>
    </row>
    <row r="55" spans="2:5" ht="13.9" x14ac:dyDescent="0.4">
      <c r="B55" s="3" t="s">
        <v>43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f>262961+7221</f>
        <v>270182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>
        <v>659</v>
      </c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13463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177621</v>
      </c>
      <c r="D70" s="60">
        <v>0.05</v>
      </c>
      <c r="E70" s="112"/>
    </row>
    <row r="71" spans="2:5" ht="13.9" x14ac:dyDescent="0.4">
      <c r="B71" s="3" t="s">
        <v>71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>
        <v>52462</v>
      </c>
    </row>
    <row r="74" spans="2:5" ht="13.9" x14ac:dyDescent="0.4">
      <c r="B74" s="3" t="s">
        <v>36</v>
      </c>
      <c r="C74" s="59">
        <v>5999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58</v>
      </c>
      <c r="C78" s="59">
        <v>152946</v>
      </c>
    </row>
    <row r="79" spans="2:5" ht="13.9" x14ac:dyDescent="0.4">
      <c r="B79" s="3" t="s">
        <v>60</v>
      </c>
      <c r="C79" s="59">
        <v>14979</v>
      </c>
    </row>
    <row r="80" spans="2:5" ht="13.9" x14ac:dyDescent="0.4">
      <c r="B80" s="3" t="s">
        <v>62</v>
      </c>
      <c r="C80" s="59">
        <v>0</v>
      </c>
    </row>
    <row r="81" spans="2:8" ht="13.9" x14ac:dyDescent="0.4">
      <c r="B81" s="86" t="s">
        <v>63</v>
      </c>
      <c r="C81" s="120">
        <v>86574</v>
      </c>
    </row>
    <row r="82" spans="2:8" ht="14.25" thickBot="1" x14ac:dyDescent="0.45">
      <c r="B82" s="80" t="s">
        <v>81</v>
      </c>
      <c r="C82" s="83">
        <v>339547</v>
      </c>
    </row>
    <row r="83" spans="2:8" ht="14.25" thickTop="1" x14ac:dyDescent="0.4">
      <c r="B83" s="73" t="s">
        <v>207</v>
      </c>
      <c r="C83" s="59">
        <v>860681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102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232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241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194</v>
      </c>
      <c r="C98" s="237">
        <f>C44</f>
        <v>3.1800675856985672</v>
      </c>
      <c r="D98" s="266"/>
      <c r="E98" s="254">
        <f>F98</f>
        <v>3.1800675856985672</v>
      </c>
      <c r="F98" s="254">
        <f>C98</f>
        <v>3.1800675856985672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0700.HK</v>
      </c>
      <c r="D3" s="290"/>
      <c r="E3" s="87"/>
      <c r="F3" s="3" t="s">
        <v>1</v>
      </c>
      <c r="G3" s="132">
        <v>405.8</v>
      </c>
      <c r="H3" s="134" t="s">
        <v>272</v>
      </c>
    </row>
    <row r="4" spans="1:10" ht="15.75" customHeight="1" x14ac:dyDescent="0.4">
      <c r="B4" s="35" t="s">
        <v>182</v>
      </c>
      <c r="C4" s="291" t="str">
        <f>Inputs!C5</f>
        <v>騰訊控股</v>
      </c>
      <c r="D4" s="292"/>
      <c r="E4" s="87"/>
      <c r="F4" s="3" t="s">
        <v>2</v>
      </c>
      <c r="G4" s="295">
        <f>Inputs!C10</f>
        <v>9267407258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3760713.8652963997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>
        <f>C23*C22*(1/C21)</f>
        <v>0.1761361061763882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>
        <f>Data!C55</f>
        <v>0.52005836963812035</v>
      </c>
      <c r="F21" s="87"/>
      <c r="G21" s="29"/>
    </row>
    <row r="22" spans="1:8" ht="15.75" customHeight="1" x14ac:dyDescent="0.4">
      <c r="B22" s="279" t="s">
        <v>259</v>
      </c>
      <c r="C22" s="280">
        <f>Data!C50</f>
        <v>0.36799156480177886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0.24892161933614115</v>
      </c>
      <c r="F23" s="140" t="s">
        <v>176</v>
      </c>
      <c r="G23" s="177">
        <f>G3/(Data!C36*Data!C4/Common_Shares*Exchange_Rate)</f>
        <v>3.7920005265078824</v>
      </c>
    </row>
    <row r="24" spans="1:8" ht="15.75" customHeight="1" x14ac:dyDescent="0.4">
      <c r="B24" s="137" t="s">
        <v>261</v>
      </c>
      <c r="C24" s="171">
        <f>Fin_Analysis!I81</f>
        <v>2.0144003021272054E-2</v>
      </c>
      <c r="F24" s="140" t="s">
        <v>243</v>
      </c>
      <c r="G24" s="268">
        <f>G3/(Fin_Analysis!H86*G7)</f>
        <v>33.660839331243629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0.28202773219868982</v>
      </c>
    </row>
    <row r="26" spans="1:8" ht="15.75" customHeight="1" x14ac:dyDescent="0.4">
      <c r="B26" s="138" t="s">
        <v>263</v>
      </c>
      <c r="C26" s="171">
        <f>Fin_Analysis!I80+Fin_Analysis!I82</f>
        <v>0</v>
      </c>
      <c r="F26" s="141" t="s">
        <v>180</v>
      </c>
      <c r="G26" s="178">
        <f>Fin_Analysis!H88*Exchange_Rate/G3</f>
        <v>8.3785115820601275E-3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64.139939750933863</v>
      </c>
      <c r="D29" s="129">
        <f>G29*(1+G20)</f>
        <v>126.51946098239111</v>
      </c>
      <c r="E29" s="87"/>
      <c r="F29" s="131">
        <f>IF(Fin_Analysis!C108="Profit",Fin_Analysis!F100,IF(Fin_Analysis!C108="Dividend",Fin_Analysis!F103,Fin_Analysis!F106))</f>
        <v>75.458752648157486</v>
      </c>
      <c r="G29" s="286">
        <f>IF(Fin_Analysis!C108="Profit",Fin_Analysis!I100,IF(Fin_Analysis!C108="Dividend",Fin_Analysis!I103,Fin_Analysis!I106))</f>
        <v>110.01692259338358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agree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>
        <f>IF(C6="","",C6/C27)</f>
        <v>0.36799156480177886</v>
      </c>
      <c r="D50" s="272">
        <f t="shared" ref="D50:M50" si="41">IF(D6="","",D6/D27)</f>
        <v>1.5321368517216813E-2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8.5794274361058437E-2</v>
      </c>
      <c r="D51" s="153">
        <f t="shared" si="42"/>
        <v>0.77753574056175079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7.2034350549658056E-3</v>
      </c>
      <c r="D52" s="153">
        <f t="shared" si="43"/>
        <v>4.071861610813774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>
        <f>IF(C36="","",(C36-C37)/C27)</f>
        <v>0.52005836963812035</v>
      </c>
      <c r="D55" s="156">
        <f t="shared" ref="D55:M55" si="45">IF(D36="","",(D36-D37)/D27)</f>
        <v>0.68918582450160215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0.44519746932515336</v>
      </c>
      <c r="D56" s="157">
        <f t="shared" si="46"/>
        <v>5.6738563800966181E-2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8.8050585305284618E-2</v>
      </c>
      <c r="D57" s="153">
        <f t="shared" si="47"/>
        <v>0.10072412517995426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1.3450387544929943</v>
      </c>
      <c r="D58" s="158">
        <f t="shared" si="48"/>
        <v>3.055211094750502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>
        <f>IF(C14="","",C14/(C36-C37))</f>
        <v>0.17613610617638822</v>
      </c>
      <c r="D60" s="274">
        <f t="shared" ref="D60:M60" si="50">IF(D14="","",D14/(D36-D37))</f>
        <v>4.0970232249725952E-3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>
        <f>IF(C22="","",C22/(C36-C37))</f>
        <v>0.16188227694116636</v>
      </c>
      <c r="D61" s="274">
        <f t="shared" ref="D61:M61" si="51">IF(D22="","",D22/(D36-D37))</f>
        <v>3.7221163152963369E-3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860681</v>
      </c>
      <c r="K3" s="24"/>
    </row>
    <row r="4" spans="1:11" ht="15" customHeight="1" x14ac:dyDescent="0.4">
      <c r="B4" s="3" t="s">
        <v>23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-253795.25723180146</v>
      </c>
      <c r="E6" s="56">
        <f>1-D6/D3</f>
        <v>1.2736050862948041</v>
      </c>
      <c r="F6" s="87"/>
      <c r="G6" s="87"/>
      <c r="H6" s="1" t="s">
        <v>26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35</v>
      </c>
      <c r="I11" s="40">
        <f>Inputs!C73</f>
        <v>52462</v>
      </c>
      <c r="J11" s="87"/>
      <c r="K11" s="24"/>
    </row>
    <row r="12" spans="1:11" ht="13.9" x14ac:dyDescent="0.4">
      <c r="B12" s="1" t="s">
        <v>131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36</v>
      </c>
      <c r="I12" s="40">
        <f>Inputs!C74</f>
        <v>5999</v>
      </c>
      <c r="J12" s="87"/>
      <c r="K12" s="24"/>
    </row>
    <row r="13" spans="1:11" ht="13.9" x14ac:dyDescent="0.4">
      <c r="B13" s="3" t="s">
        <v>113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50</v>
      </c>
      <c r="I15" s="84">
        <f>SUM(I11:I14)</f>
        <v>58461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51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52</v>
      </c>
      <c r="I25" s="63">
        <f>E28/I28</f>
        <v>0.96007513678814749</v>
      </c>
    </row>
    <row r="26" spans="2:10" ht="15" customHeight="1" x14ac:dyDescent="0.4">
      <c r="B26" s="23" t="s">
        <v>53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54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152946</v>
      </c>
      <c r="J30" s="87"/>
    </row>
    <row r="31" spans="2:10" ht="15" customHeight="1" x14ac:dyDescent="0.4">
      <c r="B31" s="3" t="s">
        <v>59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60</v>
      </c>
      <c r="I31" s="40">
        <f>Inputs!C79</f>
        <v>14979</v>
      </c>
      <c r="J31" s="87"/>
    </row>
    <row r="32" spans="2:10" ht="15" customHeight="1" x14ac:dyDescent="0.4">
      <c r="B32" s="3" t="s">
        <v>61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86574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254499</v>
      </c>
      <c r="J34" s="87"/>
    </row>
    <row r="35" spans="2:10" ht="13.9" x14ac:dyDescent="0.4">
      <c r="B35" s="3" t="s">
        <v>66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77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79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81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82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66916</v>
      </c>
      <c r="D53" s="29">
        <f>IF(E53=0, 0,E53/C53)</f>
        <v>3.7920005265078824</v>
      </c>
      <c r="E53" s="88">
        <f>IF(C53=0,0,MAX(C53,C53*Dashboard!G23))</f>
        <v>253745.50723180146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312960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102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92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162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219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153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2.970811244958502E-2</v>
      </c>
      <c r="D87" s="209"/>
      <c r="E87" s="262">
        <f>E86*Exchange_Rate/Dashboard!G3</f>
        <v>2.970811244958502E-2</v>
      </c>
      <c r="F87" s="209"/>
      <c r="H87" s="262">
        <f>H86*Exchange_Rate/Dashboard!G3</f>
        <v>2.970811244958502E-2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3.1800675856985672</v>
      </c>
      <c r="D88" s="166">
        <f>C88/C86</f>
        <v>0.28202773219868982</v>
      </c>
      <c r="E88" s="170">
        <f>Inputs!E98</f>
        <v>3.1800675856985672</v>
      </c>
      <c r="F88" s="166">
        <f>E88/E86</f>
        <v>0.28202773219868982</v>
      </c>
      <c r="H88" s="170">
        <f>Inputs!F98</f>
        <v>3.1800675856985672</v>
      </c>
      <c r="I88" s="166">
        <f>H88/H86</f>
        <v>0.28202773219868982</v>
      </c>
      <c r="K88" s="24"/>
    </row>
    <row r="89" spans="1:11" ht="15" customHeight="1" x14ac:dyDescent="0.4">
      <c r="B89" s="87" t="s">
        <v>208</v>
      </c>
      <c r="C89" s="261">
        <f>C88*Exchange_Rate/Dashboard!G3</f>
        <v>8.3785115820601275E-3</v>
      </c>
      <c r="D89" s="209"/>
      <c r="E89" s="261">
        <f>E88*Exchange_Rate/Dashboard!G3</f>
        <v>8.3785115820601275E-3</v>
      </c>
      <c r="F89" s="209"/>
      <c r="H89" s="261">
        <f>H88*Exchange_Rate/Dashboard!G3</f>
        <v>8.3785115820601275E-3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210.65505768429685</v>
      </c>
      <c r="H93" s="87" t="s">
        <v>196</v>
      </c>
      <c r="I93" s="144">
        <f>FV(H87,D93,0,-(H86/(C93-D94)))*Exchange_Rate</f>
        <v>210.65505768429685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53.50704241513359</v>
      </c>
      <c r="H94" s="87" t="s">
        <v>197</v>
      </c>
      <c r="I94" s="144">
        <f>FV(H89,D93,0,-(H88/(C93-D94)))*Exchange_Rate</f>
        <v>53.50704241513359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970601.45390902227</v>
      </c>
      <c r="D97" s="213"/>
      <c r="E97" s="123">
        <f>PV(C94,D93,0,-F93)</f>
        <v>104.73279385355164</v>
      </c>
      <c r="F97" s="213"/>
      <c r="H97" s="123">
        <f>PV(C94,D93,0,-I93)</f>
        <v>104.73279385355164</v>
      </c>
      <c r="I97" s="123">
        <f>PV(C93,D93,0,-I93)</f>
        <v>139.29096379877774</v>
      </c>
      <c r="K97" s="24"/>
    </row>
    <row r="98" spans="2:11" ht="15" customHeight="1" x14ac:dyDescent="0.4">
      <c r="B98" s="28" t="s">
        <v>140</v>
      </c>
      <c r="C98" s="91">
        <f>-E53*Exchange_Rate</f>
        <v>-271294.46193786082</v>
      </c>
      <c r="D98" s="213"/>
      <c r="E98" s="213"/>
      <c r="F98" s="213"/>
      <c r="H98" s="123">
        <f>C98*Data!$C$4/Common_Shares</f>
        <v>-29.274041205394148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699306.99197116145</v>
      </c>
      <c r="D100" s="109">
        <f>MIN(F100*(1-C94),E100)</f>
        <v>64.139939750933863</v>
      </c>
      <c r="E100" s="109">
        <f>MAX(E97+H98+E99,0)</f>
        <v>75.458752648157486</v>
      </c>
      <c r="F100" s="109">
        <f>(E100+H100)/2</f>
        <v>75.458752648157486</v>
      </c>
      <c r="H100" s="109">
        <f>MAX(C100*Data!$C$4/Common_Shares,0)</f>
        <v>75.4587526481575</v>
      </c>
      <c r="I100" s="109">
        <f>MAX(I97+H98+H99,0)</f>
        <v>110.01692259338358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246535.79996323906</v>
      </c>
      <c r="D103" s="109">
        <f>MIN(F103*(1-C94),E103)</f>
        <v>22.612088163909757</v>
      </c>
      <c r="E103" s="123">
        <f>PV(C94,D93,0,-F94)</f>
        <v>26.602456663423244</v>
      </c>
      <c r="F103" s="109">
        <f>(E103+H103)/2</f>
        <v>26.602456663423244</v>
      </c>
      <c r="H103" s="123">
        <f>PV(C94,D93,0,-I94)</f>
        <v>26.602456663423244</v>
      </c>
      <c r="I103" s="109">
        <f>PV(C93,D93,0,-I94)</f>
        <v>35.380339736232315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472921.39596720022</v>
      </c>
      <c r="D106" s="109">
        <f>(D100+D103)/2</f>
        <v>43.376013957421812</v>
      </c>
      <c r="E106" s="123">
        <f>(E100+E103)/2</f>
        <v>51.030604655790363</v>
      </c>
      <c r="F106" s="109">
        <f>(F100+F103)/2</f>
        <v>51.030604655790363</v>
      </c>
      <c r="H106" s="123">
        <f>(H100+H103)/2</f>
        <v>51.03060465579037</v>
      </c>
      <c r="I106" s="123">
        <f>(I100+I103)/2</f>
        <v>72.698631164807949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