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60BDA5A-98FE-4C20-948B-7A175A05BA6A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7" i="3"/>
  <c r="M53" i="2"/>
  <c r="F97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G53" i="2"/>
  <c r="H50" i="2"/>
  <c r="F53" i="2"/>
  <c r="J53" i="2"/>
  <c r="K50" i="2"/>
  <c r="C53" i="2"/>
  <c r="D50" i="2"/>
  <c r="K53" i="2"/>
  <c r="L50" i="2"/>
  <c r="H53" i="2"/>
  <c r="I50" i="2"/>
  <c r="D53" i="2"/>
  <c r="E50" i="2"/>
  <c r="I53" i="2"/>
  <c r="J50" i="2"/>
  <c r="E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G50" i="2" l="1"/>
  <c r="F50" i="2"/>
  <c r="F22" i="2"/>
  <c r="F61" i="2" s="1"/>
  <c r="F60" i="2"/>
  <c r="K15" i="2"/>
  <c r="L60" i="2"/>
  <c r="D22" i="2"/>
  <c r="D61" i="2" s="1"/>
  <c r="D60" i="2"/>
  <c r="L15" i="2"/>
  <c r="M60" i="2"/>
  <c r="E22" i="2"/>
  <c r="E61" i="2" s="1"/>
  <c r="E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E59" i="2" s="1"/>
  <c r="L13" i="2"/>
  <c r="L59" i="2" s="1"/>
  <c r="E40" i="2"/>
  <c r="G13" i="2"/>
  <c r="E57" i="2"/>
  <c r="D40" i="2"/>
  <c r="D13" i="2"/>
  <c r="D59" i="2" s="1"/>
  <c r="G40" i="2"/>
  <c r="K56" i="2"/>
  <c r="L24" i="2"/>
  <c r="L23" i="2" s="1"/>
  <c r="M57" i="2"/>
  <c r="M56" i="2"/>
  <c r="G59" i="2" l="1"/>
  <c r="D56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61" i="2" l="1"/>
  <c r="C22" i="1"/>
  <c r="C20" i="1" s="1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<sst xmlns="http://schemas.openxmlformats.org/spreadsheetml/2006/main" count="393" uniqueCount="273">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</sst>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267</v>
      </c>
    </row>
    <row r="10" spans="1:5" ht="13.9" x14ac:dyDescent="0.4">
      <c r="B10" s="140" t="s">
        <v>204</v>
      </c>
      <c r="C10" s="193">
        <v>791575204</v>
      </c>
    </row>
    <row r="11" spans="1:5" ht="13.9" x14ac:dyDescent="0.4">
      <c r="B11" s="140" t="s">
        <v>205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269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270</v>
      </c>
      <c r="D19" s="24"/>
    </row>
    <row r="20" spans="2:13" ht="13.9" x14ac:dyDescent="0.4">
      <c r="B20" s="241" t="s">
        <v>215</v>
      </c>
      <c r="C20" s="242" t="s">
        <v>270</v>
      </c>
      <c r="D20" s="24"/>
    </row>
    <row r="21" spans="2:13" ht="13.9" x14ac:dyDescent="0.4">
      <c r="B21" s="224" t="s">
        <v>218</v>
      </c>
      <c r="C21" s="242" t="s">
        <v>269</v>
      </c>
      <c r="D21" s="24"/>
    </row>
    <row r="22" spans="2:13" ht="78.75" x14ac:dyDescent="0.4">
      <c r="B22" s="226" t="s">
        <v>217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2.7502611263657651E-2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v>3496104</v>
      </c>
      <c r="D48" s="60">
        <v>0.9</v>
      </c>
      <c r="E48" s="112"/>
    </row>
    <row r="49" spans="2:5" ht="13.9" x14ac:dyDescent="0.4">
      <c r="B49" s="1" t="s">
        <v>131</v>
      </c>
      <c r="C49" s="59">
        <v>41635</v>
      </c>
      <c r="D49" s="60">
        <v>0.8</v>
      </c>
      <c r="E49" s="112"/>
    </row>
    <row r="50" spans="2:5" ht="13.9" x14ac:dyDescent="0.4">
      <c r="B50" s="3" t="s">
        <v>113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405832</v>
      </c>
      <c r="D51" s="60">
        <v>0.6</v>
      </c>
      <c r="E51" s="112"/>
    </row>
    <row r="52" spans="2:5" ht="13.9" x14ac:dyDescent="0.4">
      <c r="B52" s="3" t="s">
        <v>40</v>
      </c>
      <c r="C52" s="59">
        <v>0</v>
      </c>
      <c r="D52" s="60">
        <v>0.5</v>
      </c>
      <c r="E52" s="112"/>
    </row>
    <row r="53" spans="2:5" ht="13.9" x14ac:dyDescent="0.4">
      <c r="B53" s="1" t="s">
        <v>151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246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>
        <v>0</v>
      </c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47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152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245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0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27391</v>
      </c>
      <c r="D70" s="60">
        <v>0.05</v>
      </c>
      <c r="E70" s="112"/>
    </row>
    <row r="71" spans="2:5" ht="13.9" x14ac:dyDescent="0.4">
      <c r="B71" s="3" t="s">
        <v>71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0</v>
      </c>
      <c r="D72" s="248">
        <v>0</v>
      </c>
      <c r="E72" s="249"/>
    </row>
    <row r="73" spans="2:5" ht="13.9" x14ac:dyDescent="0.4">
      <c r="B73" s="3" t="s">
        <v>35</v>
      </c>
      <c r="C73" s="59">
        <v>174488</v>
      </c>
    </row>
    <row r="74" spans="2:5" ht="13.9" x14ac:dyDescent="0.4">
      <c r="B74" s="3" t="s">
        <v>36</v>
      </c>
      <c r="C74" s="59">
        <v>11884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58</v>
      </c>
      <c r="C78" s="59">
        <v>432202</v>
      </c>
    </row>
    <row r="79" spans="2:5" ht="13.9" x14ac:dyDescent="0.4">
      <c r="B79" s="3" t="s">
        <v>60</v>
      </c>
      <c r="C79" s="59">
        <v>17265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638511</v>
      </c>
    </row>
    <row r="83" spans="2:8" ht="14.25" thickTop="1" x14ac:dyDescent="0.4">
      <c r="B83" s="73" t="s">
        <v>207</v>
      </c>
      <c r="C83" s="59">
        <v>4357429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102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232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241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231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194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0710.HK</v>
      </c>
      <c r="D3" s="290"/>
      <c r="E3" s="87"/>
      <c r="F3" s="3" t="s">
        <v>1</v>
      </c>
      <c r="G3" s="132">
        <v>6.15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京东方精电</v>
      </c>
      <c r="D4" s="292"/>
      <c r="E4" s="87"/>
      <c r="F4" s="3" t="s">
        <v>2</v>
      </c>
      <c r="G4" s="295">
        <f>Inputs!C10</f>
        <v>791575204</v>
      </c>
      <c r="H4" s="295"/>
      <c r="I4" s="39"/>
    </row>
    <row r="5" spans="1:10" ht="15.75" customHeight="1" x14ac:dyDescent="0.4">
      <c r="B5" s="3" t="s">
        <v>156</v>
      </c>
      <c r="C5" s="293">
        <f>Inputs!C6</f>
        <v>45593</v>
      </c>
      <c r="D5" s="294"/>
      <c r="E5" s="34"/>
      <c r="F5" s="35" t="s">
        <v>96</v>
      </c>
      <c r="G5" s="287">
        <f>G3*G4/1000000</f>
        <v>4868.1875046000005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>
        <f>C23*C22*(1/C21)</f>
        <v>-3.702718583213481E-2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>
        <f>Data!C55</f>
        <v>0.40315104102095145</v>
      </c>
      <c r="F21" s="87"/>
      <c r="G21" s="29"/>
    </row>
    <row r="22" spans="1:8" ht="15.75" customHeight="1" x14ac:dyDescent="0.4">
      <c r="B22" s="279" t="s">
        <v>259</v>
      </c>
      <c r="C22" s="280">
        <f>Data!C50</f>
        <v>0.99555791091914569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-1.4994153881535188E-2</v>
      </c>
      <c r="F23" s="140" t="s">
        <v>176</v>
      </c>
      <c r="G23" s="177">
        <f>G3/(Data!C36*Data!C4/Common_Shares*Exchange_Rate)</f>
        <v>1.03089594898784</v>
      </c>
    </row>
    <row r="24" spans="1:8" ht="15.75" customHeight="1" x14ac:dyDescent="0.4">
      <c r="B24" s="137" t="s">
        <v>261</v>
      </c>
      <c r="C24" s="171">
        <f>Fin_Analysis!I81</f>
        <v>2.3437755566327548E-3</v>
      </c>
      <c r="F24" s="140" t="s">
        <v>243</v>
      </c>
      <c r="G24" s="268">
        <f>G3/(Fin_Analysis!H86*G7)</f>
        <v>-12.366761497581379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-0.3401182340583494</v>
      </c>
    </row>
    <row r="26" spans="1:8" ht="15.75" customHeight="1" x14ac:dyDescent="0.4">
      <c r="B26" s="138" t="s">
        <v>263</v>
      </c>
      <c r="C26" s="171">
        <f>Fin_Analysis!I80+Fin_Analysis!I82</f>
        <v>2.8284501268352451E-2</v>
      </c>
      <c r="F26" s="141" t="s">
        <v>180</v>
      </c>
      <c r="G26" s="178">
        <f>Fin_Analysis!H88*Exchange_Rate/G3</f>
        <v>2.7502611263657651E-2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Strongly agree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agree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agree</v>
      </c>
    </row>
    <row r="40" spans="1:3" ht="15.75" customHeight="1" x14ac:dyDescent="0.4">
      <c r="A40"/>
      <c r="B40" s="1" t="s">
        <v>218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>
        <f>IF(C6="","",C6/C27)</f>
        <v>0.99555791091914569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0.26208484876421134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0.16754538114511558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>
        <f>IF(D6="","",C16/(C6-D6))</f>
        <v>-14.813743266325055</v>
      </c>
      <c r="D53" s="153">
        <f t="shared" ref="D53:M53" si="44">IF(E6="","",D16/(D6-E6))</f>
        <v>6.4957053603081072E-2</v>
      </c>
      <c r="E53" s="153" t="e">
        <f t="shared" si="44"/>
        <v>#VALUE!</v>
      </c>
      <c r="F53" s="153" t="e">
        <f t="shared" si="44"/>
        <v>#VALUE!</v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>
        <f>IF(C36="","",(C36-C37)/C27)</f>
        <v>0.40315104102095145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-0.77207647428568138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-5.1373316159101103E-2</v>
      </c>
      <c r="D57" s="153">
        <f t="shared" si="47"/>
        <v>-1.1169453834400038E-2</v>
      </c>
      <c r="E57" s="153">
        <f t="shared" si="47"/>
        <v>-1.4575672697826926E-3</v>
      </c>
      <c r="F57" s="153">
        <f t="shared" si="47"/>
        <v>-1.4739383223963821E-2</v>
      </c>
      <c r="G57" s="153">
        <f t="shared" si="47"/>
        <v>3.0150190540237615E-2</v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1.4900249344048726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>
        <f>IF(C14="","",C14/(C36-C37))</f>
        <v>-3.702718583213481E-2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>
        <f>IF(C22="","",C22/(C36-C37))</f>
        <v>-0.11266192365574594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4357429</v>
      </c>
      <c r="K3" s="24"/>
    </row>
    <row r="4" spans="1:11" ht="15" customHeight="1" x14ac:dyDescent="0.4">
      <c r="B4" s="3" t="s">
        <v>23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1.4900249344048726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-156622.15309823514</v>
      </c>
      <c r="E6" s="56">
        <f>1-D6/D3</f>
        <v>1.0354603724348039</v>
      </c>
      <c r="F6" s="87"/>
      <c r="G6" s="87"/>
      <c r="H6" s="1" t="s">
        <v>26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35</v>
      </c>
      <c r="I11" s="40">
        <f>Inputs!C73</f>
        <v>174488</v>
      </c>
      <c r="J11" s="87"/>
      <c r="K11" s="24"/>
    </row>
    <row r="12" spans="1:11" ht="13.9" x14ac:dyDescent="0.4">
      <c r="B12" s="1" t="s">
        <v>131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36</v>
      </c>
      <c r="I12" s="40">
        <f>Inputs!C74</f>
        <v>11884</v>
      </c>
      <c r="J12" s="87"/>
      <c r="K12" s="24"/>
    </row>
    <row r="13" spans="1:11" ht="13.9" x14ac:dyDescent="0.4">
      <c r="B13" s="3" t="s">
        <v>113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186372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52</v>
      </c>
      <c r="I25" s="63">
        <f>E28/I28</f>
        <v>1.046728865071757</v>
      </c>
    </row>
    <row r="26" spans="2:10" ht="15" customHeight="1" x14ac:dyDescent="0.4">
      <c r="B26" s="23" t="s">
        <v>53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54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56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432202</v>
      </c>
      <c r="J30" s="87"/>
    </row>
    <row r="31" spans="2:10" ht="15" customHeight="1" x14ac:dyDescent="0.4">
      <c r="B31" s="3" t="s">
        <v>59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60</v>
      </c>
      <c r="I31" s="40">
        <f>Inputs!C79</f>
        <v>17265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449467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77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79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81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82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59393</v>
      </c>
      <c r="D53" s="29">
        <f>IF(E53=0, 0,E53/C53)</f>
        <v>1.03089594898784</v>
      </c>
      <c r="E53" s="88">
        <f>IF(C53=0,0,MAX(C53,C53*Dashboard!G23))</f>
        <v>61228.003098234782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635839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102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92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162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219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121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153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-8.0861913621894807E-2</v>
      </c>
      <c r="D87" s="209"/>
      <c r="E87" s="262">
        <f>E86*Exchange_Rate/Dashboard!G3</f>
        <v>-8.0861913621894807E-2</v>
      </c>
      <c r="F87" s="209"/>
      <c r="H87" s="262">
        <f>H86*Exchange_Rate/Dashboard!G3</f>
        <v>-8.0861913621894807E-2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208</v>
      </c>
      <c r="C89" s="261">
        <f>C88*Exchange_Rate/Dashboard!G3</f>
        <v>2.7502611263657651E-2</v>
      </c>
      <c r="D89" s="209"/>
      <c r="E89" s="261">
        <f>E88*Exchange_Rate/Dashboard!G3</f>
        <v>2.7502611263657651E-2</v>
      </c>
      <c r="F89" s="209"/>
      <c r="H89" s="261">
        <f>H88*Exchange_Rate/Dashboard!G3</f>
        <v>2.7502611263657651E-2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-4.9242156016658365</v>
      </c>
      <c r="H93" s="87" t="s">
        <v>196</v>
      </c>
      <c r="I93" s="144">
        <f>FV(H87,D93,0,-(H86/(C93-D94)))*Exchange_Rate</f>
        <v>-4.9242156016658365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2.9240031405983595</v>
      </c>
      <c r="H94" s="87" t="s">
        <v>197</v>
      </c>
      <c r="I94" s="144">
        <f>FV(H89,D93,0,-(H88/(C93-D94)))*Exchange_Rate</f>
        <v>2.9240031405983595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-1937938.718022265</v>
      </c>
      <c r="D97" s="213"/>
      <c r="E97" s="123">
        <f>PV(C94,D93,0,-F93)</f>
        <v>-2.4482054367411248</v>
      </c>
      <c r="F97" s="213"/>
      <c r="H97" s="123">
        <f>PV(C94,D93,0,-I93)</f>
        <v>-2.4482054367411248</v>
      </c>
      <c r="I97" s="123">
        <f>PV(C93,D93,0,-I93)</f>
        <v>-3.2560278620841419</v>
      </c>
      <c r="K97" s="24"/>
    </row>
    <row r="98" spans="2:11" ht="15" customHeight="1" x14ac:dyDescent="0.4">
      <c r="B98" s="28" t="s">
        <v>140</v>
      </c>
      <c r="C98" s="91">
        <f>-E53*Exchange_Rate</f>
        <v>-65462.511385042868</v>
      </c>
      <c r="D98" s="213"/>
      <c r="E98" s="213"/>
      <c r="F98" s="213"/>
      <c r="H98" s="123">
        <f>C98*Data!$C$4/Common_Shares</f>
        <v>-8.2699042433677428E-2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-2003401.2294073079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1150749.5520438426</v>
      </c>
      <c r="D103" s="109">
        <f>MIN(F103*(1-C94),E103)</f>
        <v>1.2356843851279431</v>
      </c>
      <c r="E103" s="123">
        <f>PV(C94,D93,0,-F94)</f>
        <v>1.4537463354446389</v>
      </c>
      <c r="F103" s="109">
        <f>(E103+H103)/2</f>
        <v>1.4537463354446389</v>
      </c>
      <c r="H103" s="123">
        <f>PV(C94,D93,0,-I94)</f>
        <v>1.4537463354446389</v>
      </c>
      <c r="I103" s="109">
        <f>PV(C93,D93,0,-I94)</f>
        <v>1.9334319340909871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575374.77602192131</v>
      </c>
      <c r="D106" s="109">
        <f>(D100+D103)/2</f>
        <v>0.61784219256397155</v>
      </c>
      <c r="E106" s="123">
        <f>(E100+E103)/2</f>
        <v>0.72687316772231947</v>
      </c>
      <c r="F106" s="109">
        <f>(F100+F103)/2</f>
        <v>0.72687316772231947</v>
      </c>
      <c r="H106" s="123">
        <f>(H100+H103)/2</f>
        <v>0.72687316772231947</v>
      </c>
      <c r="I106" s="123">
        <f>(I100+I103)/2</f>
        <v>0.96671596704549356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