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C670EB5-7FC3-4DA0-87C3-4218657636DF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2" i="4"/>
  <c r="F91" i="4"/>
  <c r="F96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C52" i="4"/>
  <c r="D50" i="4"/>
  <c r="D53" i="4" s="1"/>
  <c r="C50" i="4"/>
  <c r="C48" i="4"/>
  <c r="D43" i="4"/>
  <c r="D35" i="4"/>
  <c r="D33" i="4"/>
  <c r="C33" i="4"/>
  <c r="D27" i="4"/>
  <c r="C27" i="4"/>
  <c r="B7" i="3"/>
  <c r="M53" i="2"/>
  <c r="F94" i="4" l="1"/>
  <c r="F95" i="4"/>
  <c r="F97" i="4"/>
  <c r="F92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M27" i="2"/>
  <c r="M55" i="2"/>
  <c r="I27" i="2"/>
  <c r="I55" i="2"/>
  <c r="J53" i="2"/>
  <c r="K50" i="2"/>
  <c r="H53" i="2"/>
  <c r="I50" i="2"/>
  <c r="K53" i="2"/>
  <c r="L50" i="2"/>
  <c r="I53" i="2"/>
  <c r="J50" i="2"/>
  <c r="G53" i="2"/>
  <c r="H50" i="2"/>
  <c r="F53" i="2"/>
  <c r="G50" i="2"/>
  <c r="E53" i="2"/>
  <c r="F50" i="2"/>
  <c r="D53" i="2"/>
  <c r="E50" i="2"/>
  <c r="C53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5" i="2" l="1"/>
  <c r="D50" i="2"/>
  <c r="F22" i="2"/>
  <c r="F61" i="2" s="1"/>
  <c r="F60" i="2"/>
  <c r="K15" i="2"/>
  <c r="L60" i="2"/>
  <c r="E22" i="2"/>
  <c r="E61" i="2" s="1"/>
  <c r="E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G57" i="2"/>
  <c r="D15" i="2"/>
  <c r="E15" i="2"/>
  <c r="K13" i="2"/>
  <c r="E13" i="2"/>
  <c r="L13" i="2"/>
  <c r="E40" i="2"/>
  <c r="G13" i="2"/>
  <c r="E57" i="2"/>
  <c r="D40" i="2"/>
  <c r="D13" i="2"/>
  <c r="D59" i="2" s="1"/>
  <c r="G40" i="2"/>
  <c r="K56" i="2"/>
  <c r="L24" i="2"/>
  <c r="L23" i="2" s="1"/>
  <c r="M57" i="2"/>
  <c r="M56" i="2"/>
  <c r="G59" i="2" l="1"/>
  <c r="L59" i="2"/>
  <c r="K59" i="2"/>
  <c r="M59" i="2"/>
  <c r="D56" i="2"/>
  <c r="E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60" i="2"/>
  <c r="C59" i="2" s="1"/>
  <c r="C61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<sst xmlns="http://schemas.openxmlformats.org/spreadsheetml/2006/main" count="393" uniqueCount="271">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</sst>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67</v>
      </c>
      <c r="E8" s="267"/>
    </row>
    <row r="9" spans="1:5" ht="13.9" x14ac:dyDescent="0.4">
      <c r="B9" s="140" t="s">
        <v>203</v>
      </c>
      <c r="C9" s="192" t="s">
        <v>268</v>
      </c>
    </row>
    <row r="10" spans="1:5" ht="13.9" x14ac:dyDescent="0.4">
      <c r="B10" s="140" t="s">
        <v>204</v>
      </c>
      <c r="C10" s="193">
        <v>30598124345</v>
      </c>
    </row>
    <row r="11" spans="1:5" ht="13.9" x14ac:dyDescent="0.4">
      <c r="B11" s="140" t="s">
        <v>205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372597</v>
      </c>
      <c r="D25" s="149">
        <v>354944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11294+C29+60026+62939+36403+102123</f>
        <v>274766</v>
      </c>
      <c r="D27" s="150">
        <f>10947+D29+56425+60726+34720+92957</f>
        <v>256870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1981</v>
      </c>
      <c r="D29" s="150">
        <v>1095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196</v>
      </c>
      <c r="D30" s="150">
        <v>92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>
        <v>84847</v>
      </c>
      <c r="D32" s="150">
        <v>86829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>
        <f>C30</f>
        <v>196</v>
      </c>
      <c r="D33" s="150">
        <f>D30</f>
        <v>92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>
        <f>54881+12342+1205</f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>
        <f>181715+185621+5628+55387+156018+32020+37213+141559</f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176336</v>
      </c>
      <c r="D51" s="60">
        <v>0.6</v>
      </c>
      <c r="E51" s="112"/>
    </row>
    <row r="52" spans="2:5" ht="13.9" x14ac:dyDescent="0.4">
      <c r="B52" s="3" t="s">
        <v>40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151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247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43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185013</v>
      </c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>
        <v>94862</v>
      </c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71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f>35301+44439</f>
        <v>79740</v>
      </c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33448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62222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83483</v>
      </c>
    </row>
    <row r="83" spans="2:8" ht="14.25" thickTop="1" x14ac:dyDescent="0.4">
      <c r="B83" s="73" t="s">
        <v>207</v>
      </c>
      <c r="C83" s="59">
        <v>1379544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372597</v>
      </c>
      <c r="D91" s="209"/>
      <c r="E91" s="251">
        <f>C91</f>
        <v>372597</v>
      </c>
      <c r="F91" s="251">
        <f>C91</f>
        <v>372597</v>
      </c>
    </row>
    <row r="92" spans="2:8" ht="13.9" x14ac:dyDescent="0.4">
      <c r="B92" s="104" t="s">
        <v>102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232</v>
      </c>
      <c r="C93" s="77">
        <f>C27+C28</f>
        <v>274766</v>
      </c>
      <c r="D93" s="159">
        <f>C93/C91</f>
        <v>0.73743481563190261</v>
      </c>
      <c r="E93" s="252">
        <f>E91*D93</f>
        <v>274766</v>
      </c>
      <c r="F93" s="252">
        <f>F91*D93</f>
        <v>274766</v>
      </c>
    </row>
    <row r="94" spans="2:8" ht="13.9" x14ac:dyDescent="0.4">
      <c r="B94" s="104" t="s">
        <v>241</v>
      </c>
      <c r="C94" s="77">
        <f>C29</f>
        <v>1981</v>
      </c>
      <c r="D94" s="159">
        <f>C94/C91</f>
        <v>5.3167363129601151E-3</v>
      </c>
      <c r="E94" s="253"/>
      <c r="F94" s="252">
        <f>F91*D94</f>
        <v>1981</v>
      </c>
    </row>
    <row r="95" spans="2:8" ht="13.9" x14ac:dyDescent="0.4">
      <c r="B95" s="28" t="s">
        <v>231</v>
      </c>
      <c r="C95" s="77">
        <f>ABS(MAX(C33,0)-C32)</f>
        <v>84651</v>
      </c>
      <c r="D95" s="159">
        <f>C95/C91</f>
        <v>0.22719184534497058</v>
      </c>
      <c r="E95" s="252">
        <f>E91*D95</f>
        <v>84651</v>
      </c>
      <c r="F95" s="252">
        <f>F91*D95</f>
        <v>84651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261.33333333333331</v>
      </c>
      <c r="D97" s="159">
        <f>C97/C91</f>
        <v>7.0138335341758879E-4</v>
      </c>
      <c r="E97" s="253"/>
      <c r="F97" s="252">
        <f>F91*D97</f>
        <v>261.33333333333331</v>
      </c>
    </row>
    <row r="98" spans="2:7" ht="13.9" x14ac:dyDescent="0.4">
      <c r="B98" s="86" t="s">
        <v>194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0762.HK</v>
      </c>
      <c r="D3" s="290"/>
      <c r="E3" s="87"/>
      <c r="F3" s="3" t="s">
        <v>1</v>
      </c>
      <c r="G3" s="132">
        <v>6.95</v>
      </c>
      <c r="H3" s="134" t="s">
        <v>270</v>
      </c>
    </row>
    <row r="4" spans="1:10" ht="15.75" customHeight="1" x14ac:dyDescent="0.4">
      <c r="B4" s="35" t="s">
        <v>182</v>
      </c>
      <c r="C4" s="291" t="str">
        <f>Inputs!C5</f>
        <v>中国联通</v>
      </c>
      <c r="D4" s="292"/>
      <c r="E4" s="87"/>
      <c r="F4" s="3" t="s">
        <v>2</v>
      </c>
      <c r="G4" s="295">
        <f>Inputs!C10</f>
        <v>30598124345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45624</v>
      </c>
      <c r="D5" s="294"/>
      <c r="E5" s="34"/>
      <c r="F5" s="35" t="s">
        <v>96</v>
      </c>
      <c r="G5" s="287">
        <f>G3*G4/1000000</f>
        <v>212656.96419775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N</v>
      </c>
      <c r="D7" s="187" t="str">
        <f>Inputs!C9</f>
        <v>C0010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>
        <f>C23*C22*(1/C21)</f>
        <v>7.0726027344301209E-2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>
        <f>Data!C55</f>
        <v>0.68239969489618901</v>
      </c>
      <c r="F21" s="87"/>
      <c r="G21" s="29"/>
    </row>
    <row r="22" spans="1:8" ht="15.75" customHeight="1" x14ac:dyDescent="0.4">
      <c r="B22" s="279" t="s">
        <v>260</v>
      </c>
      <c r="C22" s="280">
        <f>Data!C50</f>
        <v>0.18430733569877825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0.26186380101467988</v>
      </c>
      <c r="F23" s="140" t="s">
        <v>176</v>
      </c>
      <c r="G23" s="177">
        <f>G3/(Data!C36*Data!C4/Common_Shares*Exchange_Rate)</f>
        <v>0.14372822493831031</v>
      </c>
    </row>
    <row r="24" spans="1:8" ht="15.75" customHeight="1" x14ac:dyDescent="0.4">
      <c r="B24" s="137" t="s">
        <v>262</v>
      </c>
      <c r="C24" s="171">
        <f>Fin_Analysis!I81</f>
        <v>5.3167363129601151E-3</v>
      </c>
      <c r="F24" s="140" t="s">
        <v>244</v>
      </c>
      <c r="G24" s="268">
        <f>G3/(Fin_Analysis!H86*G7)</f>
        <v>24.246613831975679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</v>
      </c>
    </row>
    <row r="26" spans="1:8" ht="15.75" customHeight="1" x14ac:dyDescent="0.4">
      <c r="B26" s="138" t="s">
        <v>264</v>
      </c>
      <c r="C26" s="171">
        <f>Fin_Analysis!I80+Fin_Analysis!I82</f>
        <v>0.22719184534497058</v>
      </c>
      <c r="F26" s="141" t="s">
        <v>180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2.1094294342093103</v>
      </c>
      <c r="D29" s="129">
        <f>G29*(1+G20)</f>
        <v>3.8529781793161946</v>
      </c>
      <c r="E29" s="87"/>
      <c r="F29" s="131">
        <f>IF(Fin_Analysis!C108="Profit",Fin_Analysis!F100,IF(Fin_Analysis!C108="Dividend",Fin_Analysis!F103,Fin_Analysis!F106))</f>
        <v>2.4816816873050711</v>
      </c>
      <c r="G29" s="286">
        <f>IF(Fin_Analysis!C108="Profit",Fin_Analysis!I100,IF(Fin_Analysis!C108="Dividend",Fin_Analysis!I103,Fin_Analysis!I106))</f>
        <v>3.3504158081010389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agree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188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372597</v>
      </c>
      <c r="D6" s="200">
        <f>IF(Inputs!D25="","",Inputs!D25)</f>
        <v>354944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372597</v>
      </c>
      <c r="D9" s="151">
        <f t="shared" si="2"/>
        <v>354944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274766</v>
      </c>
      <c r="D10" s="199">
        <f>IF(Inputs!D27="","",Inputs!D27)</f>
        <v>256870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261.33333333333331</v>
      </c>
      <c r="D12" s="199">
        <f>IF(Inputs!D30="","",MAX(Inputs!D30,0)/(1-Fin_Analysis!$I$84))</f>
        <v>122.66666666666667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0.26186380101467988</v>
      </c>
      <c r="D13" s="229">
        <f t="shared" si="3"/>
        <v>0.27596278098329124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97569.666666666672</v>
      </c>
      <c r="D14" s="230">
        <f t="shared" ref="D14:M14" si="4">IF(D6="","",D9-D10-MAX(D11,0)-MAX(D12,0))</f>
        <v>97951.333333333328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-3.8964928161603074E-3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1981</v>
      </c>
      <c r="D17" s="199">
        <f>IF(Inputs!D29="","",Inputs!D29)</f>
        <v>1095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>
        <f t="shared" ref="C18:M18" si="6">IF(OR(C6="",C19=""),"",C19/C6)</f>
        <v>0.22771788286003378</v>
      </c>
      <c r="D18" s="152">
        <f t="shared" si="6"/>
        <v>0.2446273214929679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>
        <f>IF(Inputs!C32="","",Inputs!C32)</f>
        <v>84847</v>
      </c>
      <c r="D19" s="199">
        <f>IF(Inputs!D32="","",Inputs!D32)</f>
        <v>86829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5.2603751506319157E-4</v>
      </c>
      <c r="D20" s="152">
        <f t="shared" si="7"/>
        <v>2.5919581680490446E-4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>
        <f>IF(Inputs!C33="","",Inputs!C33)</f>
        <v>196</v>
      </c>
      <c r="D21" s="199">
        <f>IF(Inputs!D33="","",Inputs!D33)</f>
        <v>92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10937.666666666672</v>
      </c>
      <c r="D22" s="161">
        <f t="shared" ref="D22:M22" si="8">IF(D6="","",D14-MAX(D16,0)-MAX(D17,0)-ABS(MAX(D21,0)-MAX(D19,0)))</f>
        <v>10119.333333333328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2.201641451756188E-2</v>
      </c>
      <c r="D23" s="153">
        <f t="shared" si="9"/>
        <v>2.1382246213487187E-2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8.0868304894921611E-2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>
        <f>IF(C6="","",C14/MAX(C39,0))</f>
        <v>8.1030660594121687E-2</v>
      </c>
      <c r="D40" s="155">
        <f>IF(D6="","",D14/MAX(D39,0))</f>
        <v>8.1796793754077946E-2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0.73743481563190261</v>
      </c>
      <c r="D43" s="153">
        <f t="shared" si="35"/>
        <v>0.72369162459430225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5.3167363129601151E-3</v>
      </c>
      <c r="D45" s="153">
        <f t="shared" si="37"/>
        <v>3.0849936891453301E-3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7.0138335341758879E-4</v>
      </c>
      <c r="D46" s="153">
        <f t="shared" ref="D46:M46" si="38">IF(D6="","",MAX(D12,0)/D6)</f>
        <v>3.4559442240653928E-4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0.22719184534497058</v>
      </c>
      <c r="D47" s="153">
        <f t="shared" ref="D47:M47" si="39">IF(D6="","",ABS(MAX(D21,0)-MAX(D19,0))/D6)</f>
        <v>0.24436812567616301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2.9355219356749174E-2</v>
      </c>
      <c r="D48" s="153">
        <f t="shared" si="40"/>
        <v>2.8509661617982917E-2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>
        <f>IF(C6="","",C6/C27)</f>
        <v>0.18430733569877825</v>
      </c>
      <c r="D50" s="272">
        <f t="shared" ref="D50:M50" si="41">IF(D6="","",D6/D27)</f>
        <v>0.17812598957070885</v>
      </c>
      <c r="E50" s="272" t="str">
        <f t="shared" si="41"/>
        <v/>
      </c>
      <c r="F50" s="272" t="str">
        <f t="shared" si="41"/>
        <v/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0.27090663639267087</v>
      </c>
      <c r="D51" s="153">
        <f t="shared" si="42"/>
        <v>0.19278534078615217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3.3859639234883804E-2</v>
      </c>
      <c r="D52" s="153">
        <f t="shared" si="43"/>
        <v>3.3881401009736745E-2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str">
        <f t="shared" ref="D53:M53" si="44">IF(E6="","",D16/(D6-E6))</f>
        <v/>
      </c>
      <c r="E53" s="153" t="str">
        <f t="shared" si="44"/>
        <v/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>
        <f>IF(C36="","",(C36-C37)/C27)</f>
        <v>0.68239969489618901</v>
      </c>
      <c r="D55" s="156">
        <f t="shared" ref="D55:M55" si="45">IF(D36="","",(D36-D37)/D27)</f>
        <v>0.67333816105832567</v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0.11432702693285954</v>
      </c>
      <c r="D56" s="157">
        <f t="shared" si="46"/>
        <v>9.8308948776238456E-2</v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0.18111724011824573</v>
      </c>
      <c r="D57" s="153">
        <f t="shared" si="47"/>
        <v>0.10820870940114637</v>
      </c>
      <c r="E57" s="153" t="str">
        <f t="shared" si="47"/>
        <v/>
      </c>
      <c r="F57" s="153" t="str">
        <f t="shared" si="47"/>
        <v/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0.96378562214143304</v>
      </c>
      <c r="D58" s="158">
        <f t="shared" si="48"/>
        <v>0.89175655474295745</v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>
        <f>IF(C14="","",C14/(C36-C37))</f>
        <v>7.0726027344301209E-2</v>
      </c>
      <c r="D60" s="274">
        <f t="shared" ref="D60:M60" si="50">IF(D14="","",D14/(D36-D37))</f>
        <v>7.300365000859585E-2</v>
      </c>
      <c r="E60" s="274" t="str">
        <f t="shared" si="50"/>
        <v/>
      </c>
      <c r="F60" s="274" t="str">
        <f t="shared" si="50"/>
        <v/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>
        <f>IF(C22="","",C22/(C36-C37))</f>
        <v>7.9284652513197627E-3</v>
      </c>
      <c r="D61" s="274">
        <f t="shared" ref="D61:M61" si="51">IF(D22="","",D22/(D36-D37))</f>
        <v>7.5419929861800482E-3</v>
      </c>
      <c r="E61" s="274" t="str">
        <f t="shared" si="51"/>
        <v/>
      </c>
      <c r="F61" s="274" t="str">
        <f t="shared" si="51"/>
        <v/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1379544</v>
      </c>
      <c r="K3" s="24"/>
    </row>
    <row r="4" spans="1:11" ht="15" customHeight="1" x14ac:dyDescent="0.4">
      <c r="B4" s="3" t="s">
        <v>23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-23676.150000000023</v>
      </c>
      <c r="E6" s="56">
        <f>1-D6/D3</f>
        <v>1.017108664187145</v>
      </c>
      <c r="F6" s="87"/>
      <c r="G6" s="87"/>
      <c r="H6" s="1" t="s">
        <v>26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33448</v>
      </c>
      <c r="J12" s="87"/>
      <c r="K12" s="24"/>
    </row>
    <row r="13" spans="1:11" ht="13.9" x14ac:dyDescent="0.4">
      <c r="B13" s="3" t="s">
        <v>113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50</v>
      </c>
      <c r="I15" s="84">
        <f>SUM(I11:I14)</f>
        <v>33448</v>
      </c>
      <c r="J15" s="87"/>
    </row>
    <row r="16" spans="1:11" ht="13.9" x14ac:dyDescent="0.4">
      <c r="B16" s="1" t="s">
        <v>151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51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52</v>
      </c>
      <c r="I25" s="63">
        <f>E28/I28</f>
        <v>0.64035904051384285</v>
      </c>
    </row>
    <row r="26" spans="2:10" ht="15" customHeight="1" x14ac:dyDescent="0.4">
      <c r="B26" s="23" t="s">
        <v>53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54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56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60</v>
      </c>
      <c r="I31" s="40">
        <f>Inputs!C79</f>
        <v>62222</v>
      </c>
      <c r="J31" s="87"/>
    </row>
    <row r="32" spans="2:10" ht="15" customHeight="1" x14ac:dyDescent="0.4">
      <c r="B32" s="3" t="s">
        <v>61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62222</v>
      </c>
      <c r="J34" s="87"/>
    </row>
    <row r="35" spans="2:10" ht="13.9" x14ac:dyDescent="0.4">
      <c r="B35" s="3" t="s">
        <v>66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77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79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81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82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95670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372597</v>
      </c>
      <c r="D74" s="209"/>
      <c r="E74" s="238">
        <f>Inputs!E91</f>
        <v>372597</v>
      </c>
      <c r="F74" s="209"/>
      <c r="H74" s="238">
        <f>Inputs!F91</f>
        <v>372597</v>
      </c>
      <c r="I74" s="209"/>
      <c r="K74" s="24"/>
    </row>
    <row r="75" spans="1:11" ht="15" customHeight="1" x14ac:dyDescent="0.4">
      <c r="B75" s="104" t="s">
        <v>102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92</v>
      </c>
      <c r="C76" s="161">
        <f>C74-C75</f>
        <v>372597</v>
      </c>
      <c r="D76" s="210"/>
      <c r="E76" s="162">
        <f>E74-E75</f>
        <v>372597</v>
      </c>
      <c r="F76" s="210"/>
      <c r="H76" s="162">
        <f>H74-H75</f>
        <v>372597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274766</v>
      </c>
      <c r="D77" s="159">
        <f>C77/$C$74</f>
        <v>0.73743481563190261</v>
      </c>
      <c r="E77" s="238">
        <f>Inputs!E93</f>
        <v>274766</v>
      </c>
      <c r="F77" s="160">
        <f>E77/E74</f>
        <v>0.73743481563190261</v>
      </c>
      <c r="H77" s="238">
        <f>Inputs!F93</f>
        <v>274766</v>
      </c>
      <c r="I77" s="160">
        <f>H77/$H$74</f>
        <v>0.73743481563190261</v>
      </c>
      <c r="K77" s="24"/>
    </row>
    <row r="78" spans="1:11" ht="15" customHeight="1" x14ac:dyDescent="0.4">
      <c r="B78" s="73" t="s">
        <v>162</v>
      </c>
      <c r="C78" s="77">
        <f>MAX(Data!C12,0)</f>
        <v>261.33333333333331</v>
      </c>
      <c r="D78" s="159">
        <f>C78/$C$74</f>
        <v>7.0138335341758879E-4</v>
      </c>
      <c r="E78" s="180">
        <f>E74*F78</f>
        <v>261.33333333333331</v>
      </c>
      <c r="F78" s="160">
        <f>I78</f>
        <v>7.0138335341758879E-4</v>
      </c>
      <c r="H78" s="238">
        <f>Inputs!F97</f>
        <v>261.33333333333331</v>
      </c>
      <c r="I78" s="160">
        <f>H78/$H$74</f>
        <v>7.0138335341758879E-4</v>
      </c>
      <c r="K78" s="24"/>
    </row>
    <row r="79" spans="1:11" ht="15" customHeight="1" x14ac:dyDescent="0.4">
      <c r="B79" s="256" t="s">
        <v>219</v>
      </c>
      <c r="C79" s="257">
        <f>C76-C77-C78</f>
        <v>97569.666666666672</v>
      </c>
      <c r="D79" s="258">
        <f>C79/C74</f>
        <v>0.26186380101467988</v>
      </c>
      <c r="E79" s="259">
        <f>E76-E77-E78</f>
        <v>97569.666666666672</v>
      </c>
      <c r="F79" s="258">
        <f>E79/E74</f>
        <v>0.26186380101467988</v>
      </c>
      <c r="G79" s="260"/>
      <c r="H79" s="259">
        <f>H76-H77-H78</f>
        <v>97569.666666666672</v>
      </c>
      <c r="I79" s="258">
        <f>H79/H74</f>
        <v>0.26186380101467988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1981</v>
      </c>
      <c r="D81" s="159">
        <f>C81/$C$74</f>
        <v>5.3167363129601151E-3</v>
      </c>
      <c r="E81" s="180">
        <f>E74*F81</f>
        <v>1981</v>
      </c>
      <c r="F81" s="160">
        <f>I81</f>
        <v>5.3167363129601151E-3</v>
      </c>
      <c r="H81" s="238">
        <f>Inputs!F94</f>
        <v>1981</v>
      </c>
      <c r="I81" s="160">
        <f>H81/$H$74</f>
        <v>5.3167363129601151E-3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84651</v>
      </c>
      <c r="D82" s="159">
        <f>C82/$C$74</f>
        <v>0.22719184534497058</v>
      </c>
      <c r="E82" s="238">
        <f>Inputs!E95</f>
        <v>84651</v>
      </c>
      <c r="F82" s="160">
        <f>E82/E74</f>
        <v>0.22719184534497058</v>
      </c>
      <c r="H82" s="238">
        <f>Inputs!F95</f>
        <v>84651</v>
      </c>
      <c r="I82" s="160">
        <f>H82/$H$74</f>
        <v>0.22719184534497058</v>
      </c>
      <c r="K82" s="24"/>
    </row>
    <row r="83" spans="1:11" ht="15" customHeight="1" thickBot="1" x14ac:dyDescent="0.45">
      <c r="B83" s="105" t="s">
        <v>121</v>
      </c>
      <c r="C83" s="163">
        <f>C79-C81-C82-C80</f>
        <v>10937.666666666672</v>
      </c>
      <c r="D83" s="164">
        <f>C83/$C$74</f>
        <v>2.9355219356749174E-2</v>
      </c>
      <c r="E83" s="165">
        <f>E79-E81-E82-E80</f>
        <v>10937.666666666672</v>
      </c>
      <c r="F83" s="164">
        <f>E83/E74</f>
        <v>2.9355219356749174E-2</v>
      </c>
      <c r="H83" s="165">
        <f>H79-H81-H82-H80</f>
        <v>10937.666666666672</v>
      </c>
      <c r="I83" s="164">
        <f>H83/$H$74</f>
        <v>2.9355219356749174E-2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8203.2500000000036</v>
      </c>
      <c r="D85" s="258">
        <f>C85/$C$74</f>
        <v>2.201641451756188E-2</v>
      </c>
      <c r="E85" s="264">
        <f>E83*(1-F84)</f>
        <v>8203.2500000000036</v>
      </c>
      <c r="F85" s="258">
        <f>E85/E74</f>
        <v>2.201641451756188E-2</v>
      </c>
      <c r="G85" s="260"/>
      <c r="H85" s="264">
        <f>H83*(1-I84)</f>
        <v>8203.2500000000036</v>
      </c>
      <c r="I85" s="258">
        <f>H85/$H$74</f>
        <v>2.201641451756188E-2</v>
      </c>
      <c r="K85" s="24"/>
    </row>
    <row r="86" spans="1:11" ht="15" customHeight="1" x14ac:dyDescent="0.4">
      <c r="B86" s="87" t="s">
        <v>153</v>
      </c>
      <c r="C86" s="167">
        <f>C85*Data!C4/Common_Shares</f>
        <v>0.26809649857967477</v>
      </c>
      <c r="D86" s="209"/>
      <c r="E86" s="168">
        <f>E85*Data!C4/Common_Shares</f>
        <v>0.26809649857967477</v>
      </c>
      <c r="F86" s="209"/>
      <c r="H86" s="168">
        <f>H85*Data!C4/Common_Shares</f>
        <v>0.26809649857967477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4.1242872383327654E-2</v>
      </c>
      <c r="D87" s="209"/>
      <c r="E87" s="262">
        <f>E86*Exchange_Rate/Dashboard!G3</f>
        <v>4.1242872383327654E-2</v>
      </c>
      <c r="F87" s="209"/>
      <c r="H87" s="262">
        <f>H86*Exchange_Rate/Dashboard!G3</f>
        <v>4.1242872383327654E-2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208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5.2955129458141839</v>
      </c>
      <c r="H93" s="87" t="s">
        <v>196</v>
      </c>
      <c r="I93" s="144">
        <f>FV(H87,D93,0,-(H86/(C93-D94)))*Exchange_Rate</f>
        <v>5.2955129458141839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0</v>
      </c>
      <c r="H94" s="87" t="s">
        <v>197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80558.92041133529</v>
      </c>
      <c r="D97" s="213"/>
      <c r="E97" s="123">
        <f>PV(C94,D93,0,-F93)</f>
        <v>2.6328058381297259</v>
      </c>
      <c r="F97" s="213"/>
      <c r="H97" s="123">
        <f>PV(C94,D93,0,-I93)</f>
        <v>2.6328058381297259</v>
      </c>
      <c r="I97" s="123">
        <f>PV(C93,D93,0,-I93)</f>
        <v>3.5015399589256937</v>
      </c>
      <c r="K97" s="24"/>
    </row>
    <row r="98" spans="2:11" ht="15" customHeight="1" x14ac:dyDescent="0.4">
      <c r="B98" s="28" t="s">
        <v>140</v>
      </c>
      <c r="C98" s="91">
        <f>-E53*Exchange_Rate</f>
        <v>-4624.1155584653225</v>
      </c>
      <c r="D98" s="213"/>
      <c r="E98" s="213"/>
      <c r="F98" s="213"/>
      <c r="H98" s="123">
        <f>C98*Data!$C$4/Common_Shares</f>
        <v>-0.15112415082465483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75934.804852869973</v>
      </c>
      <c r="D100" s="109">
        <f>MIN(F100*(1-C94),E100)</f>
        <v>2.1094294342093103</v>
      </c>
      <c r="E100" s="109">
        <f>MAX(E97+H98+E99,0)</f>
        <v>2.4816816873050711</v>
      </c>
      <c r="F100" s="109">
        <f>(E100+H100)/2</f>
        <v>2.4816816873050711</v>
      </c>
      <c r="H100" s="109">
        <f>MAX(C100*Data!$C$4/Common_Shares,0)</f>
        <v>2.4816816873050711</v>
      </c>
      <c r="I100" s="109">
        <f>MAX(I97+H98+H99,0)</f>
        <v>3.3504158081010389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37967.402426434986</v>
      </c>
      <c r="D106" s="109">
        <f>(D100+D103)/2</f>
        <v>1.0547147171046551</v>
      </c>
      <c r="E106" s="123">
        <f>(E100+E103)/2</f>
        <v>1.2408408436525356</v>
      </c>
      <c r="F106" s="109">
        <f>(F100+F103)/2</f>
        <v>1.2408408436525356</v>
      </c>
      <c r="H106" s="123">
        <f>(H100+H103)/2</f>
        <v>1.2408408436525356</v>
      </c>
      <c r="I106" s="123">
        <f>(I100+I103)/2</f>
        <v>1.6752079040505194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