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E80340C-960C-427A-A36E-8BA2752E4535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B7" i="3"/>
  <c r="M53" i="2"/>
  <c r="F96" i="4" l="1"/>
  <c r="F97" i="4"/>
  <c r="E92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M27" i="2"/>
  <c r="M55" i="2"/>
  <c r="J27" i="2"/>
  <c r="J55" i="2"/>
  <c r="I27" i="2"/>
  <c r="I55" i="2"/>
  <c r="G53" i="2"/>
  <c r="H50" i="2"/>
  <c r="E53" i="2"/>
  <c r="F50" i="2"/>
  <c r="F53" i="2"/>
  <c r="G50" i="2"/>
  <c r="K53" i="2"/>
  <c r="L50" i="2"/>
  <c r="I53" i="2"/>
  <c r="J50" i="2"/>
  <c r="D53" i="2"/>
  <c r="E50" i="2"/>
  <c r="C53" i="2"/>
  <c r="D50" i="2"/>
  <c r="J53" i="2"/>
  <c r="K50" i="2"/>
  <c r="H53" i="2"/>
  <c r="I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L15" i="2"/>
  <c r="M60" i="2"/>
  <c r="G22" i="2"/>
  <c r="G61" i="2" s="1"/>
  <c r="G60" i="2"/>
  <c r="J15" i="2"/>
  <c r="K60" i="2"/>
  <c r="E22" i="2"/>
  <c r="E61" i="2" s="1"/>
  <c r="E60" i="2"/>
  <c r="D22" i="2"/>
  <c r="D61" i="2" s="1"/>
  <c r="D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15" i="2"/>
  <c r="E15" i="2"/>
  <c r="K13" i="2"/>
  <c r="K59" i="2" s="1"/>
  <c r="E13" i="2"/>
  <c r="E59" i="2" s="1"/>
  <c r="L13" i="2"/>
  <c r="L59" i="2" s="1"/>
  <c r="E40" i="2"/>
  <c r="G13" i="2"/>
  <c r="E57" i="2"/>
  <c r="D40" i="2"/>
  <c r="D13" i="2"/>
  <c r="D59" i="2" s="1"/>
  <c r="G40" i="2"/>
  <c r="K56" i="2"/>
  <c r="L24" i="2"/>
  <c r="L23" i="2" s="1"/>
  <c r="M57" i="2"/>
  <c r="M56" i="2"/>
  <c r="G57" i="2" l="1"/>
  <c r="G59" i="2"/>
  <c r="D56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<sst xmlns="http://schemas.openxmlformats.org/spreadsheetml/2006/main" count="393" uniqueCount="273">
  <si>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</si>
  <si>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</si>
  <si>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</si>
  <si>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</si>
  <si>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</si>
  <si>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</si>
  <si>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</si>
  <si>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</si>
  <si>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</si>
  <si>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</si>
  <si>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</si>
  <si>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</si>
  <si>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</si>
  <si>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</si>
  <si>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</si>
  <si>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</si>
  <si>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</si>
  <si>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</si>
  <si>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</si>
  <si>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</si>
  <si>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</si>
  <si>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</si>
  <si>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</si>
  <si>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</si>
  <si>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</si>
  <si>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</si>
  <si>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</si>
  <si>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</si>
  <si>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</si>
  <si>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</si>
  <si>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</si>
  <si>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</si>
  <si>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</si>
  <si>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</si>
  <si>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</si>
  <si>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</si>
  <si>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</si>
  <si>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</si>
  <si>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</si>
  <si>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</si>
  <si>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</si>
  <si>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</si>
  <si>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</si>
  <si>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</si>
  <si>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</si>
  <si>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</si>
  <si>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</si>
  <si>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</si>
  <si>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</si>
  <si>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</si>
  <si>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</si>
  <si>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</si>
  <si>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</si>
  <si>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</si>
  <si>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</si>
  <si>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</si>
  <si>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</si>
  <si>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</si>
  <si>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</si>
  <si>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</si>
  <si>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</si>
  <si>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</si>
  <si>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</si>
  <si>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</si>
  <si>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</si>
  <si>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</si>
  <si>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</si>
  <si>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</si>
  <si>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</si>
  <si>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</si>
  <si>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</si>
  <si>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</si>
  <si>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</si>
  <si>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</si>
  <si>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</si>
  <si>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</si>
  <si>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</si>
  <si>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</si>
  <si>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</si>
  <si>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</si>
  <si>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</si>
  <si>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</si>
  <si>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</si>
  <si>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</si>
  <si>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</si>
  <si>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</si>
  <si>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</si>
  <si>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</si>
  <si>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</si>
  <si>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</si>
  <si>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</si>
  <si>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</si>
  <si>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</si>
  <si>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</si>
  <si>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</si>
  <si>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</si>
  <si>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</si>
  <si>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</si>
  <si>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</si>
  <si>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</si>
  <si>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</si>
  <si>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</si>
  <si>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</si>
  <si>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</si>
  <si>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</si>
  <si>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</si>
  <si>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</si>
  <si>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</si>
  <si>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</si>
  <si>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</si>
  <si>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</si>
  <si>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</si>
  <si>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</si>
  <si>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</si>
  <si>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</si>
  <si>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</si>
  <si>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</si>
  <si>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</si>
  <si>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</si>
  <si>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</si>
  <si>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</si>
  <si>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</si>
  <si>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</si>
  <si>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</si>
  <si>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</si>
  <si>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</si>
  <si>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</si>
  <si>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</si>
  <si>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</si>
  <si>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</si>
  <si>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</si>
  <si>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</si>
  <si>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</si>
  <si>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</si>
  <si>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</si>
  <si>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</si>
  <si>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</si>
  <si>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</si>
  <si>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</si>
  <si>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</si>
  <si>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</si>
  <si>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</si>
  <si>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</si>
  <si>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</si>
  <si>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</si>
  <si>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</si>
  <si>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</si>
  <si>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</si>
  <si>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</si>
  <si>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</si>
  <si>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</si>
  <si>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</si>
  <si>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</si>
  <si>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</si>
  <si>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</si>
  <si>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</si>
  <si>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</si>
  <si>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</si>
  <si>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</si>
  <si>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</si>
  <si>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</si>
  <si>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</si>
  <si>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</si>
  <si>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</si>
  <si>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</si>
  <si>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</si>
  <si>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</si>
  <si>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</si>
  <si>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</si>
  <si>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</si>
  <si>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</si>
  <si>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</si>
  <si>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</si>
  <si>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</si>
  <si>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</si>
  <si>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</si>
  <si>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</si>
  <si>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</si>
  <si>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</si>
  <si>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</si>
  <si>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</si>
  <si>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</si>
  <si>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</si>
  <si>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</si>
  <si>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</si>
  <si>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</si>
  <si>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</si>
  <si>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</si>
  <si>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</si>
  <si>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</si>
  <si>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</si>
  <si>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</si>
  <si>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</si>
  <si>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</si>
  <si>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</si>
  <si>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</si>
  <si>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</si>
  <si>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</si>
  <si>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</si>
  <si>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</si>
  <si>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</si>
  <si>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</si>
  <si>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</si>
  <si>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</si>
  <si>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</si>
  <si>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</si>
  <si>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</si>
  <si>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</si>
  <si>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</si>
  <si>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</si>
  <si>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</si>
  <si>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</si>
  <si>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</si>
  <si>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</si>
  <si>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</si>
  <si>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</si>
  <si>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</si>
  <si>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</si>
  <si>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</si>
  <si>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</si>
  <si>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</si>
  <si>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</si>
  <si>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</si>
  <si>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</si>
  <si>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</si>
  <si>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</si>
  <si>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</si>
  <si>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</si>
  <si>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</si>
  <si>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</si>
  <si>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</si>
  <si>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</si>
  <si>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</si>
  <si>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</si>
  <si>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</si>
  <si>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</si>
  <si>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</si>
  <si>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</si>
  <si>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</si>
  <si>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</si>
  <si>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</si>
  <si>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</si>
  <si>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</si>
  <si>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</si>
  <si>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</si>
  <si>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</si>
  <si>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</si>
  <si>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</si>
  <si>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</si>
  <si>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</si>
  <si>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</si>
  <si>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</si>
  <si>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</si>
  <si>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</si>
  <si>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</si>
  <si>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</si>
  <si>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</si>
  <si>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</si>
  <si>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</si>
  <si>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</si>
  <si>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</si>
  <si>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</si>
  <si>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</si>
  <si>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</si>
  <si>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</si>
  <si>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0788.HK</t>
  </si>
  <si>
    <t>中国铁塔</t>
  </si>
  <si>
    <t>Tier 3</t>
  </si>
  <si>
    <t>C0010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</si>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</sst>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265</v>
      </c>
    </row>
    <row r="5" spans="1:5" ht="13.9" x14ac:dyDescent="0.4">
      <c r="B5" s="141" t="s">
        <v>182</v>
      </c>
      <c r="C5" s="191" t="s">
        <v>266</v>
      </c>
    </row>
    <row r="6" spans="1:5" ht="13.9" x14ac:dyDescent="0.4">
      <c r="B6" s="141" t="s">
        <v>156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176008471024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270</v>
      </c>
      <c r="D17" s="24"/>
    </row>
    <row r="18" spans="2:13" ht="13.9" x14ac:dyDescent="0.4">
      <c r="B18" s="240" t="s">
        <v>225</v>
      </c>
      <c r="C18" s="242" t="s">
        <v>270</v>
      </c>
      <c r="D18" s="24"/>
    </row>
    <row r="19" spans="2:13" ht="13.9" x14ac:dyDescent="0.4">
      <c r="B19" s="240" t="s">
        <v>226</v>
      </c>
      <c r="C19" s="242" t="s">
        <v>270</v>
      </c>
      <c r="D19" s="24"/>
    </row>
    <row r="20" spans="2:13" ht="13.9" x14ac:dyDescent="0.4">
      <c r="B20" s="241" t="s">
        <v>215</v>
      </c>
      <c r="C20" s="242" t="s">
        <v>270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271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94009</v>
      </c>
      <c r="D25" s="149">
        <v>92170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65301</v>
      </c>
      <c r="D26" s="150">
        <v>65065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14206</v>
      </c>
      <c r="D27" s="150">
        <v>13793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2827</v>
      </c>
      <c r="D29" s="150">
        <v>3003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0.03739+0.0109</f>
        <v>4.829E-2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4.6936109368006386E-2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94009</v>
      </c>
      <c r="D91" s="209"/>
      <c r="E91" s="251">
        <f>C91</f>
        <v>94009</v>
      </c>
      <c r="F91" s="251">
        <f>C91</f>
        <v>94009</v>
      </c>
    </row>
    <row r="92" spans="2:8" ht="13.9" x14ac:dyDescent="0.4">
      <c r="B92" s="104" t="s">
        <v>102</v>
      </c>
      <c r="C92" s="77">
        <f>C26</f>
        <v>65301</v>
      </c>
      <c r="D92" s="159">
        <f>C92/C91</f>
        <v>0.69462498271442097</v>
      </c>
      <c r="E92" s="252">
        <f>E91*D92</f>
        <v>65301</v>
      </c>
      <c r="F92" s="252">
        <f>F91*D92</f>
        <v>65301</v>
      </c>
    </row>
    <row r="93" spans="2:8" ht="13.9" x14ac:dyDescent="0.4">
      <c r="B93" s="104" t="s">
        <v>232</v>
      </c>
      <c r="C93" s="77">
        <f>C27+C28</f>
        <v>14206</v>
      </c>
      <c r="D93" s="159">
        <f>C93/C91</f>
        <v>0.15111319129019563</v>
      </c>
      <c r="E93" s="252">
        <f>E91*D93</f>
        <v>14206</v>
      </c>
      <c r="F93" s="252">
        <f>F91*D93</f>
        <v>14206</v>
      </c>
    </row>
    <row r="94" spans="2:8" ht="13.9" x14ac:dyDescent="0.4">
      <c r="B94" s="104" t="s">
        <v>241</v>
      </c>
      <c r="C94" s="77">
        <f>C29</f>
        <v>2827</v>
      </c>
      <c r="D94" s="159">
        <f>C94/C91</f>
        <v>3.0071588890425386E-2</v>
      </c>
      <c r="E94" s="253"/>
      <c r="F94" s="252">
        <f>F91*D94</f>
        <v>2827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4.829E-2</v>
      </c>
      <c r="D98" s="266"/>
      <c r="E98" s="254">
        <f>F98</f>
        <v>4.829E-2</v>
      </c>
      <c r="F98" s="254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0788.HK</v>
      </c>
      <c r="D3" s="290"/>
      <c r="E3" s="87"/>
      <c r="F3" s="3" t="s">
        <v>1</v>
      </c>
      <c r="G3" s="132">
        <v>1.1000000000000001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中国铁塔</v>
      </c>
      <c r="D4" s="292"/>
      <c r="E4" s="87"/>
      <c r="F4" s="3" t="s">
        <v>2</v>
      </c>
      <c r="G4" s="295">
        <f>Inputs!C10</f>
        <v>176008471024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45603</v>
      </c>
      <c r="D5" s="294"/>
      <c r="E5" s="34"/>
      <c r="F5" s="35" t="s">
        <v>96</v>
      </c>
      <c r="G5" s="287">
        <f>G3*G4/1000000</f>
        <v>193609.31812640003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254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252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259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260</v>
      </c>
      <c r="C23" s="282">
        <f>Data!C13</f>
        <v>0.15426182599538343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261</v>
      </c>
      <c r="C24" s="171">
        <f>Fin_Analysis!I81</f>
        <v>3.0071588890425386E-2</v>
      </c>
      <c r="F24" s="140" t="s">
        <v>243</v>
      </c>
      <c r="G24" s="268">
        <f>G3/(Fin_Analysis!H86*G7)</f>
        <v>20.680714342292205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163</v>
      </c>
      <c r="G25" s="171">
        <f>Fin_Analysis!I88</f>
        <v>0.97067227017832514</v>
      </c>
    </row>
    <row r="26" spans="1:8" ht="15.75" customHeight="1" x14ac:dyDescent="0.4">
      <c r="B26" s="138" t="s">
        <v>263</v>
      </c>
      <c r="C26" s="171">
        <f>Fin_Analysis!I80+Fin_Analysis!I82</f>
        <v>0</v>
      </c>
      <c r="F26" s="141" t="s">
        <v>180</v>
      </c>
      <c r="G26" s="178">
        <f>Fin_Analysis!H88*Exchange_Rate/G3</f>
        <v>4.6936109368006386E-2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0.42964647022713554</v>
      </c>
      <c r="D29" s="129">
        <f>G29*(1+G20)</f>
        <v>0.77309064376798553</v>
      </c>
      <c r="E29" s="87"/>
      <c r="F29" s="131">
        <f>IF(Fin_Analysis!C108="Profit",Fin_Analysis!F100,IF(Fin_Analysis!C108="Dividend",Fin_Analysis!F103,Fin_Analysis!F106))</f>
        <v>0.50546643556133597</v>
      </c>
      <c r="G29" s="286">
        <f>IF(Fin_Analysis!C108="Profit",Fin_Analysis!I100,IF(Fin_Analysis!C108="Dividend",Fin_Analysis!I103,Fin_Analysis!I106))</f>
        <v>0.67225273371129179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agree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94009</v>
      </c>
      <c r="D6" s="200">
        <f>IF(Inputs!D25="","",Inputs!D25)</f>
        <v>92170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65301</v>
      </c>
      <c r="D8" s="199">
        <f>IF(Inputs!D26="","",Inputs!D26)</f>
        <v>65065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28708</v>
      </c>
      <c r="D9" s="151">
        <f t="shared" si="2"/>
        <v>27105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14206</v>
      </c>
      <c r="D10" s="199">
        <f>IF(Inputs!D27="","",Inputs!D27)</f>
        <v>13793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0.15426182599538343</v>
      </c>
      <c r="D13" s="229">
        <f t="shared" si="3"/>
        <v>0.14442877291960507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14502</v>
      </c>
      <c r="D14" s="230">
        <f t="shared" ref="D14:M14" si="4">IF(D6="","",D9-D10-MAX(D11,0)-MAX(D12,0))</f>
        <v>13312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8.9393028846153841E-2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2827</v>
      </c>
      <c r="D17" s="199">
        <f>IF(Inputs!D29="","",Inputs!D29)</f>
        <v>3003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11675</v>
      </c>
      <c r="D22" s="161">
        <f t="shared" ref="D22:M22" si="8">IF(D6="","",D14-MAX(D16,0)-MAX(D17,0)-ABS(MAX(D21,0)-MAX(D19,0)))</f>
        <v>10309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9.3142677828718531E-2</v>
      </c>
      <c r="D23" s="153">
        <f t="shared" si="9"/>
        <v>8.3885754583921016E-2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0.13250557765059656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0.69462498271442097</v>
      </c>
      <c r="D42" s="156">
        <f t="shared" si="34"/>
        <v>0.70592383638928069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0.15111319129019563</v>
      </c>
      <c r="D43" s="153">
        <f t="shared" si="35"/>
        <v>0.14964739069111424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3.0071588890425386E-2</v>
      </c>
      <c r="D45" s="153">
        <f t="shared" si="37"/>
        <v>3.258110014104372E-2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0.12419023710495804</v>
      </c>
      <c r="D48" s="153">
        <f t="shared" si="40"/>
        <v>0.11184767277856135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0.24214132762312635</v>
      </c>
      <c r="D57" s="153">
        <f t="shared" si="47"/>
        <v>0.29129886506935687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94009</v>
      </c>
      <c r="D74" s="209"/>
      <c r="E74" s="238">
        <f>Inputs!E91</f>
        <v>94009</v>
      </c>
      <c r="F74" s="209"/>
      <c r="H74" s="238">
        <f>Inputs!F91</f>
        <v>94009</v>
      </c>
      <c r="I74" s="209"/>
      <c r="K74" s="24"/>
    </row>
    <row r="75" spans="1:11" ht="15" customHeight="1" x14ac:dyDescent="0.4">
      <c r="B75" s="104" t="s">
        <v>102</v>
      </c>
      <c r="C75" s="77">
        <f>Data!C8</f>
        <v>65301</v>
      </c>
      <c r="D75" s="159">
        <f>C75/$C$74</f>
        <v>0.69462498271442097</v>
      </c>
      <c r="E75" s="238">
        <f>Inputs!E92</f>
        <v>65301</v>
      </c>
      <c r="F75" s="160">
        <f>E75/E74</f>
        <v>0.69462498271442097</v>
      </c>
      <c r="H75" s="238">
        <f>Inputs!F92</f>
        <v>65301</v>
      </c>
      <c r="I75" s="160">
        <f>H75/$H$74</f>
        <v>0.69462498271442097</v>
      </c>
      <c r="K75" s="24"/>
    </row>
    <row r="76" spans="1:11" ht="15" customHeight="1" x14ac:dyDescent="0.4">
      <c r="B76" s="35" t="s">
        <v>92</v>
      </c>
      <c r="C76" s="161">
        <f>C74-C75</f>
        <v>28708</v>
      </c>
      <c r="D76" s="210"/>
      <c r="E76" s="162">
        <f>E74-E75</f>
        <v>28708</v>
      </c>
      <c r="F76" s="210"/>
      <c r="H76" s="162">
        <f>H74-H75</f>
        <v>28708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14206</v>
      </c>
      <c r="D77" s="159">
        <f>C77/$C$74</f>
        <v>0.15111319129019563</v>
      </c>
      <c r="E77" s="238">
        <f>Inputs!E93</f>
        <v>14206</v>
      </c>
      <c r="F77" s="160">
        <f>E77/E74</f>
        <v>0.15111319129019563</v>
      </c>
      <c r="H77" s="238">
        <f>Inputs!F93</f>
        <v>14206</v>
      </c>
      <c r="I77" s="160">
        <f>H77/$H$74</f>
        <v>0.15111319129019563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14502</v>
      </c>
      <c r="D79" s="258">
        <f>C79/C74</f>
        <v>0.15426182599538343</v>
      </c>
      <c r="E79" s="259">
        <f>E76-E77-E78</f>
        <v>14502</v>
      </c>
      <c r="F79" s="258">
        <f>E79/E74</f>
        <v>0.15426182599538343</v>
      </c>
      <c r="G79" s="260"/>
      <c r="H79" s="259">
        <f>H76-H77-H78</f>
        <v>14502</v>
      </c>
      <c r="I79" s="258">
        <f>H79/H74</f>
        <v>0.15426182599538343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2827</v>
      </c>
      <c r="D81" s="159">
        <f>C81/$C$74</f>
        <v>3.0071588890425386E-2</v>
      </c>
      <c r="E81" s="180">
        <f>E74*F81</f>
        <v>2827</v>
      </c>
      <c r="F81" s="160">
        <f>I81</f>
        <v>3.0071588890425386E-2</v>
      </c>
      <c r="H81" s="238">
        <f>Inputs!F94</f>
        <v>2827</v>
      </c>
      <c r="I81" s="160">
        <f>H81/$H$74</f>
        <v>3.0071588890425386E-2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11675</v>
      </c>
      <c r="D83" s="164">
        <f>C83/$C$74</f>
        <v>0.12419023710495804</v>
      </c>
      <c r="E83" s="165">
        <f>E79-E81-E82-E80</f>
        <v>11675</v>
      </c>
      <c r="F83" s="164">
        <f>E83/E74</f>
        <v>0.12419023710495804</v>
      </c>
      <c r="H83" s="165">
        <f>H79-H81-H82-H80</f>
        <v>11675</v>
      </c>
      <c r="I83" s="164">
        <f>H83/$H$74</f>
        <v>0.12419023710495804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8756.25</v>
      </c>
      <c r="D85" s="258">
        <f>C85/$C$74</f>
        <v>9.3142677828718531E-2</v>
      </c>
      <c r="E85" s="264">
        <f>E83*(1-F84)</f>
        <v>8756.25</v>
      </c>
      <c r="F85" s="258">
        <f>E85/E74</f>
        <v>9.3142677828718531E-2</v>
      </c>
      <c r="G85" s="260"/>
      <c r="H85" s="264">
        <f>H83*(1-I84)</f>
        <v>8756.25</v>
      </c>
      <c r="I85" s="258">
        <f>H85/$H$74</f>
        <v>9.3142677828718531E-2</v>
      </c>
      <c r="K85" s="24"/>
    </row>
    <row r="86" spans="1:11" ht="15" customHeight="1" x14ac:dyDescent="0.4">
      <c r="B86" s="87" t="s">
        <v>153</v>
      </c>
      <c r="C86" s="167">
        <f>C85*Data!C4/Common_Shares</f>
        <v>4.9749025993220654E-2</v>
      </c>
      <c r="D86" s="209"/>
      <c r="E86" s="168">
        <f>E85*Data!C4/Common_Shares</f>
        <v>4.9749025993220654E-2</v>
      </c>
      <c r="F86" s="209"/>
      <c r="H86" s="168">
        <f>H85*Data!C4/Common_Shares</f>
        <v>4.9749025993220654E-2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4.835422913583759E-2</v>
      </c>
      <c r="D87" s="209"/>
      <c r="E87" s="262">
        <f>E86*Exchange_Rate/Dashboard!G3</f>
        <v>4.835422913583759E-2</v>
      </c>
      <c r="F87" s="209"/>
      <c r="H87" s="262">
        <f>H86*Exchange_Rate/Dashboard!G3</f>
        <v>4.835422913583759E-2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4.829E-2</v>
      </c>
      <c r="D88" s="166">
        <f>C88/C86</f>
        <v>0.97067227017832514</v>
      </c>
      <c r="E88" s="170">
        <f>Inputs!E98</f>
        <v>4.829E-2</v>
      </c>
      <c r="F88" s="166">
        <f>E88/E86</f>
        <v>0.97067227017832514</v>
      </c>
      <c r="H88" s="170">
        <f>Inputs!F98</f>
        <v>4.829E-2</v>
      </c>
      <c r="I88" s="166">
        <f>H88/H86</f>
        <v>0.97067227017832514</v>
      </c>
      <c r="K88" s="24"/>
    </row>
    <row r="89" spans="1:11" ht="15" customHeight="1" x14ac:dyDescent="0.4">
      <c r="B89" s="87" t="s">
        <v>208</v>
      </c>
      <c r="C89" s="261">
        <f>C88*Exchange_Rate/Dashboard!G3</f>
        <v>4.6936109368006386E-2</v>
      </c>
      <c r="D89" s="209"/>
      <c r="E89" s="261">
        <f>E88*Exchange_Rate/Dashboard!G3</f>
        <v>4.6936109368006386E-2</v>
      </c>
      <c r="F89" s="209"/>
      <c r="H89" s="261">
        <f>H88*Exchange_Rate/Dashboard!G3</f>
        <v>4.6936109368006386E-2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1.0166735482062983</v>
      </c>
      <c r="H93" s="87" t="s">
        <v>196</v>
      </c>
      <c r="I93" s="144">
        <f>FV(H87,D93,0,-(H86/(C93-D94)))*Exchange_Rate</f>
        <v>1.0166735482062983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0.98020019652408763</v>
      </c>
      <c r="H94" s="87" t="s">
        <v>197</v>
      </c>
      <c r="I94" s="144">
        <f>FV(H89,D93,0,-(H88/(C93-D94)))*Exchange_Rate</f>
        <v>0.98020019652408763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88966.374477101956</v>
      </c>
      <c r="D97" s="213"/>
      <c r="E97" s="123">
        <f>PV(C94,D93,0,-F93)</f>
        <v>0.50546643556133597</v>
      </c>
      <c r="F97" s="213"/>
      <c r="H97" s="123">
        <f>PV(C94,D93,0,-I93)</f>
        <v>0.50546643556133597</v>
      </c>
      <c r="I97" s="123">
        <f>PV(C93,D93,0,-I93)</f>
        <v>0.67225273371129179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88966.374477101956</v>
      </c>
      <c r="D100" s="109">
        <f>MIN(F100*(1-C94),E100)</f>
        <v>0.42964647022713554</v>
      </c>
      <c r="E100" s="109">
        <f>MAX(E97+H98+E99,0)</f>
        <v>0.50546643556133597</v>
      </c>
      <c r="F100" s="109">
        <f>(E100+H100)/2</f>
        <v>0.50546643556133597</v>
      </c>
      <c r="H100" s="109">
        <f>MAX(C100*Data!$C$4/Common_Shares,0)</f>
        <v>0.50546643556133597</v>
      </c>
      <c r="I100" s="109">
        <f>MAX(I97+H98+H99,0)</f>
        <v>0.67225273371129179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85774.689329082204</v>
      </c>
      <c r="D103" s="109">
        <f>MIN(F103*(1-C94),E103)</f>
        <v>0.41423282359959979</v>
      </c>
      <c r="E103" s="123">
        <f>PV(C94,D93,0,-F94)</f>
        <v>0.48733273364658802</v>
      </c>
      <c r="F103" s="109">
        <f>(E103+H103)/2</f>
        <v>0.48733273364658802</v>
      </c>
      <c r="H103" s="123">
        <f>PV(C94,D93,0,-I94)</f>
        <v>0.48733273364658802</v>
      </c>
      <c r="I103" s="109">
        <f>PV(C93,D93,0,-I94)</f>
        <v>0.64813554248581084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87370.53190309208</v>
      </c>
      <c r="D106" s="109">
        <f>(D100+D103)/2</f>
        <v>0.42193964691336766</v>
      </c>
      <c r="E106" s="123">
        <f>(E100+E103)/2</f>
        <v>0.496399584603962</v>
      </c>
      <c r="F106" s="109">
        <f>(F100+F103)/2</f>
        <v>0.496399584603962</v>
      </c>
      <c r="H106" s="123">
        <f>(H100+H103)/2</f>
        <v>0.496399584603962</v>
      </c>
      <c r="I106" s="123">
        <f>(I100+I103)/2</f>
        <v>0.66019413809855132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