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C64DAE-44B8-4AA9-8A23-FE858A90D30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E93" i="4"/>
  <c r="F91" i="4"/>
  <c r="F97" i="4" s="1"/>
  <c r="E91" i="4"/>
  <c r="E92" i="4" s="1"/>
  <c r="D71" i="4"/>
  <c r="D69" i="4"/>
  <c r="D68" i="4"/>
  <c r="C68" i="4"/>
  <c r="D67" i="4"/>
  <c r="C65" i="4"/>
  <c r="D62" i="4"/>
  <c r="D63" i="4" s="1"/>
  <c r="D61" i="4"/>
  <c r="D60" i="4"/>
  <c r="D59" i="4"/>
  <c r="D58" i="4"/>
  <c r="C58" i="4"/>
  <c r="D55" i="4"/>
  <c r="D50" i="4"/>
  <c r="D56" i="4" s="1"/>
  <c r="C50" i="4"/>
  <c r="F44" i="4"/>
  <c r="D27" i="4"/>
  <c r="C27" i="4"/>
  <c r="B7" i="3"/>
  <c r="M53" i="2"/>
  <c r="F96" i="4" l="1"/>
  <c r="F92" i="4"/>
  <c r="F93" i="4"/>
  <c r="F94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G53" i="2"/>
  <c r="H50" i="2"/>
  <c r="I53" i="2"/>
  <c r="J50" i="2"/>
  <c r="E53" i="2"/>
  <c r="F50" i="2"/>
  <c r="F53" i="2"/>
  <c r="G50" i="2"/>
  <c r="D53" i="2"/>
  <c r="E50" i="2"/>
  <c r="J53" i="2"/>
  <c r="K50" i="2"/>
  <c r="C53" i="2"/>
  <c r="K53" i="2"/>
  <c r="L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D22" i="2"/>
  <c r="D61" i="2" s="1"/>
  <c r="D60" i="2"/>
  <c r="L15" i="2"/>
  <c r="M60" i="2"/>
  <c r="J15" i="2"/>
  <c r="K60" i="2"/>
  <c r="E22" i="2"/>
  <c r="E61" i="2" s="1"/>
  <c r="E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K59" i="2" s="1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E59" i="2" l="1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0" i="2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<sst xmlns="http://schemas.openxmlformats.org/spreadsheetml/2006/main" count="393" uniqueCount="271">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</sst>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267</v>
      </c>
    </row>
    <row r="5" spans="1:5" ht="13.9" x14ac:dyDescent="0.4">
      <c r="B5" s="141" t="s">
        <v>183</v>
      </c>
      <c r="C5" s="191" t="s">
        <v>268</v>
      </c>
    </row>
    <row r="6" spans="1:5" ht="13.9" x14ac:dyDescent="0.4">
      <c r="B6" s="141" t="s">
        <v>157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68</v>
      </c>
      <c r="E8" s="267"/>
    </row>
    <row r="9" spans="1:5" ht="13.9" x14ac:dyDescent="0.4">
      <c r="B9" s="140" t="s">
        <v>204</v>
      </c>
      <c r="C9" s="192" t="s">
        <v>269</v>
      </c>
    </row>
    <row r="10" spans="1:5" ht="13.9" x14ac:dyDescent="0.4">
      <c r="B10" s="140" t="s">
        <v>205</v>
      </c>
      <c r="C10" s="193">
        <v>1826710016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246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231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231</v>
      </c>
      <c r="D19" s="24"/>
    </row>
    <row r="20" spans="2:13" ht="13.9" x14ac:dyDescent="0.4">
      <c r="B20" s="241" t="s">
        <v>216</v>
      </c>
      <c r="C20" s="242" t="s">
        <v>231</v>
      </c>
      <c r="D20" s="24"/>
    </row>
    <row r="21" spans="2:13" ht="13.9" x14ac:dyDescent="0.4">
      <c r="B21" s="224" t="s">
        <v>219</v>
      </c>
      <c r="C21" s="242" t="s">
        <v>231</v>
      </c>
      <c r="D21" s="24"/>
    </row>
    <row r="22" spans="2:13" ht="78.75" x14ac:dyDescent="0.4">
      <c r="B22" s="226" t="s">
        <v>218</v>
      </c>
      <c r="C22" s="243" t="s">
        <v>244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250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0.32467532467532467</v>
      </c>
      <c r="D45" s="152">
        <f>IF(D44="","",D44*Exchange_Rate/Dashboard!$G$3)</f>
        <v>2.2077872117973959E-2</v>
      </c>
      <c r="E45" s="152">
        <f>IF(E44="","",E44*Exchange_Rate/Dashboard!$G$3)</f>
        <v>5.1948051948051945E-2</v>
      </c>
      <c r="F45" s="152">
        <f>IF(F44="","",F44*Exchange_Rate/Dashboard!$G$3)</f>
        <v>0.2207792207792208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>
        <v>922361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179879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248</v>
      </c>
      <c r="C54" s="59">
        <v>27002</v>
      </c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247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512565+1009</f>
        <v>513574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187576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11428</v>
      </c>
      <c r="D70" s="60">
        <v>0.05</v>
      </c>
      <c r="E70" s="112"/>
    </row>
    <row r="71" spans="2:5" ht="13.9" x14ac:dyDescent="0.4">
      <c r="B71" s="3" t="s">
        <v>72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7278</v>
      </c>
      <c r="D72" s="248">
        <v>0</v>
      </c>
      <c r="E72" s="249"/>
    </row>
    <row r="73" spans="2:5" ht="13.9" x14ac:dyDescent="0.4">
      <c r="B73" s="3" t="s">
        <v>36</v>
      </c>
      <c r="C73" s="59">
        <v>1149</v>
      </c>
    </row>
    <row r="74" spans="2:5" ht="13.9" x14ac:dyDescent="0.4">
      <c r="B74" s="3" t="s">
        <v>37</v>
      </c>
      <c r="C74" s="59">
        <v>13306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59</v>
      </c>
      <c r="C78" s="59">
        <v>70891</v>
      </c>
    </row>
    <row r="79" spans="2:5" ht="13.9" x14ac:dyDescent="0.4">
      <c r="B79" s="3" t="s">
        <v>61</v>
      </c>
      <c r="C79" s="59">
        <v>24307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95903</v>
      </c>
    </row>
    <row r="83" spans="2:8" ht="14.25" thickTop="1" x14ac:dyDescent="0.4">
      <c r="B83" s="73" t="s">
        <v>208</v>
      </c>
      <c r="C83" s="59">
        <v>3570139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103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233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242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0806.HK</v>
      </c>
      <c r="D3" s="290"/>
      <c r="E3" s="87"/>
      <c r="F3" s="3" t="s">
        <v>1</v>
      </c>
      <c r="G3" s="132">
        <v>1.54</v>
      </c>
      <c r="H3" s="134" t="s">
        <v>270</v>
      </c>
    </row>
    <row r="4" spans="1:10" ht="15.75" customHeight="1" x14ac:dyDescent="0.4">
      <c r="B4" s="35" t="s">
        <v>183</v>
      </c>
      <c r="C4" s="291" t="str">
        <f>Inputs!C5</f>
        <v>VALUE PARTNERS</v>
      </c>
      <c r="D4" s="292"/>
      <c r="E4" s="87"/>
      <c r="F4" s="3" t="s">
        <v>3</v>
      </c>
      <c r="G4" s="295">
        <f>Inputs!C10</f>
        <v>1826710016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45636</v>
      </c>
      <c r="D5" s="294"/>
      <c r="E5" s="34"/>
      <c r="F5" s="35" t="s">
        <v>97</v>
      </c>
      <c r="G5" s="287">
        <f>G3*G4/1000000</f>
        <v>2813.1334246399997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CN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266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256</v>
      </c>
      <c r="C20" s="276">
        <f>C23*C22*(1/C21)</f>
        <v>-3.0343916581399216E-2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254</v>
      </c>
      <c r="C21" s="278">
        <f>Data!C55</f>
        <v>0.94926420264645617</v>
      </c>
      <c r="F21" s="87"/>
      <c r="G21" s="29"/>
    </row>
    <row r="22" spans="1:8" ht="15.75" customHeight="1" x14ac:dyDescent="0.4">
      <c r="B22" s="279" t="s">
        <v>261</v>
      </c>
      <c r="C22" s="280">
        <f>Data!C50</f>
        <v>0.13689505375497812</v>
      </c>
      <c r="F22" s="142" t="s">
        <v>173</v>
      </c>
    </row>
    <row r="23" spans="1:8" ht="15.75" customHeight="1" thickBot="1" x14ac:dyDescent="0.45">
      <c r="B23" s="281" t="s">
        <v>262</v>
      </c>
      <c r="C23" s="282">
        <f>Data!C13</f>
        <v>-0.21041223176965987</v>
      </c>
      <c r="F23" s="140" t="s">
        <v>177</v>
      </c>
      <c r="G23" s="177">
        <f>G3/(Data!C36*Data!C4/Common_Shares*Exchange_Rate)</f>
        <v>0.78796187617344871</v>
      </c>
    </row>
    <row r="24" spans="1:8" ht="15.75" customHeight="1" x14ac:dyDescent="0.4">
      <c r="B24" s="137" t="s">
        <v>263</v>
      </c>
      <c r="C24" s="171">
        <f>Fin_Analysis!I81</f>
        <v>1.4464238544369687E-2</v>
      </c>
      <c r="F24" s="140" t="s">
        <v>245</v>
      </c>
      <c r="G24" s="268">
        <f>G3/(Fin_Analysis!H86*G7)</f>
        <v>-32.396588035711716</v>
      </c>
    </row>
    <row r="25" spans="1:8" ht="15.75" customHeight="1" x14ac:dyDescent="0.4">
      <c r="B25" s="137" t="s">
        <v>264</v>
      </c>
      <c r="C25" s="171">
        <f>Fin_Analysis!I80</f>
        <v>0</v>
      </c>
      <c r="F25" s="140" t="s">
        <v>164</v>
      </c>
      <c r="G25" s="171">
        <f>Fin_Analysis!I88</f>
        <v>-0.63110236433204636</v>
      </c>
    </row>
    <row r="26" spans="1:8" ht="15.75" customHeight="1" x14ac:dyDescent="0.4">
      <c r="B26" s="138" t="s">
        <v>265</v>
      </c>
      <c r="C26" s="171">
        <f>Fin_Analysis!I80+Fin_Analysis!I82</f>
        <v>0</v>
      </c>
      <c r="F26" s="141" t="s">
        <v>181</v>
      </c>
      <c r="G26" s="178">
        <f>Fin_Analysis!H88*Exchange_Rate/G3</f>
        <v>1.948051948051948E-2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0.54233796213012542</v>
      </c>
      <c r="D29" s="129">
        <f>G29*(1+G20)</f>
        <v>0.70595618544213856</v>
      </c>
      <c r="E29" s="87"/>
      <c r="F29" s="131">
        <f>IF(Fin_Analysis!C108="Profit",Fin_Analysis!F100,IF(Fin_Analysis!C108="Dividend",Fin_Analysis!F103,Fin_Analysis!F106))</f>
        <v>0.63804466132955939</v>
      </c>
      <c r="G29" s="286">
        <f>IF(Fin_Analysis!C108="Profit",Fin_Analysis!I100,IF(Fin_Analysis!C108="Dividend",Fin_Analysis!I103,Fin_Analysis!I106))</f>
        <v>0.61387494386272923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unclear</v>
      </c>
    </row>
    <row r="34" spans="1:3" ht="15.75" customHeight="1" x14ac:dyDescent="0.4">
      <c r="A34"/>
      <c r="B34" s="19" t="s">
        <v>213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unclear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unclear</v>
      </c>
    </row>
    <row r="40" spans="1:3" ht="15.75" customHeight="1" x14ac:dyDescent="0.4">
      <c r="A40"/>
      <c r="B40" s="1" t="s">
        <v>219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258</v>
      </c>
      <c r="C50" s="272">
        <f>IF(C6="","",C6/C27)</f>
        <v>0.13689505375497812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259</v>
      </c>
      <c r="C51" s="153">
        <f t="shared" ref="C51:M51" si="42">IF(C29="","",C29/C6)</f>
        <v>0.28061826996286338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249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254</v>
      </c>
      <c r="C55" s="156">
        <f>IF(C36="","",(C36-C37)/C27)</f>
        <v>0.94926420264645617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-1.0558671445377692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-6.4320818110365441E-2</v>
      </c>
      <c r="D57" s="153">
        <f t="shared" si="47"/>
        <v>-3.5130919589818468E-2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13.425836564396494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256</v>
      </c>
      <c r="C60" s="274">
        <f>IF(C14="","",C14/(C36-C37))</f>
        <v>-3.0343916581399212E-2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257</v>
      </c>
      <c r="C61" s="274">
        <f>IF(C22="","",C22/(C36-C37))</f>
        <v>-3.2429829762930802E-2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3570139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1893640.4</v>
      </c>
      <c r="E6" s="56">
        <f>1-D6/D3</f>
        <v>0.46958916725651301</v>
      </c>
      <c r="F6" s="87"/>
      <c r="G6" s="87"/>
      <c r="H6" s="1" t="s">
        <v>27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28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36</v>
      </c>
      <c r="I11" s="40">
        <f>Inputs!C73</f>
        <v>1149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13306</v>
      </c>
      <c r="J12" s="87"/>
      <c r="K12" s="24"/>
    </row>
    <row r="13" spans="1:11" ht="13.9" x14ac:dyDescent="0.4">
      <c r="B13" s="3" t="s">
        <v>114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14455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52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53</v>
      </c>
      <c r="I25" s="63">
        <f>E28/I28</f>
        <v>10.830421864463924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57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70891</v>
      </c>
      <c r="J30" s="87"/>
    </row>
    <row r="31" spans="2:10" ht="15" customHeight="1" x14ac:dyDescent="0.4">
      <c r="B31" s="3" t="s">
        <v>60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61</v>
      </c>
      <c r="I31" s="40">
        <f>Inputs!C79</f>
        <v>24307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95198</v>
      </c>
      <c r="J34" s="87"/>
    </row>
    <row r="35" spans="2:10" ht="13.9" x14ac:dyDescent="0.4">
      <c r="B35" s="3" t="s">
        <v>67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78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80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82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83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109653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103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93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154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-3.0867448105882957E-2</v>
      </c>
      <c r="D87" s="209"/>
      <c r="E87" s="262">
        <f>E86*Exchange_Rate/Dashboard!G3</f>
        <v>-3.0867448105882957E-2</v>
      </c>
      <c r="F87" s="209"/>
      <c r="H87" s="262">
        <f>H86*Exchange_Rate/Dashboard!G3</f>
        <v>-3.0867448105882957E-2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209</v>
      </c>
      <c r="C89" s="261">
        <f>C88*Exchange_Rate/Dashboard!G3</f>
        <v>0.32467532467532467</v>
      </c>
      <c r="D89" s="209"/>
      <c r="E89" s="261">
        <f>E88*Exchange_Rate/Dashboard!G3</f>
        <v>0</v>
      </c>
      <c r="F89" s="209"/>
      <c r="H89" s="261">
        <f>H88*Exchange_Rate/Dashboard!G3</f>
        <v>1.948051948051948E-2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CN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197</v>
      </c>
      <c r="F93" s="144">
        <f>FV(E87,D93,0,-(E86/(C93-D94)))*Exchange_Rate</f>
        <v>-0.61341087457362908</v>
      </c>
      <c r="H93" s="87" t="s">
        <v>197</v>
      </c>
      <c r="I93" s="144">
        <f>FV(H87,D93,0,-(H86/(C93-D94)))*Exchange_Rate</f>
        <v>-0.61341087457362908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0</v>
      </c>
      <c r="H94" s="87" t="s">
        <v>198</v>
      </c>
      <c r="I94" s="144">
        <f>FV(H89,D93,0,-(H88/(C93-D94)))*Exchange_Rate</f>
        <v>0.49868927701765392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-557098.35899396578</v>
      </c>
      <c r="D97" s="213"/>
      <c r="E97" s="123">
        <f>PV(C94,D93,0,-F93)</f>
        <v>-0.30497361601698569</v>
      </c>
      <c r="F97" s="213"/>
      <c r="H97" s="123">
        <f>PV(C94,D93,0,-I93)</f>
        <v>-0.30497361601698569</v>
      </c>
      <c r="I97" s="123">
        <f>PV(C93,D93,0,-I93)</f>
        <v>-0.40560427489029249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1305194.5410060342</v>
      </c>
      <c r="D100" s="109">
        <f>MIN(F100*(1-C94),E100)</f>
        <v>0.54233796213012542</v>
      </c>
      <c r="E100" s="109">
        <f>MAX(E97+H98+E99,0)</f>
        <v>0.56158371992308276</v>
      </c>
      <c r="F100" s="109">
        <f>(E100+H100)/2</f>
        <v>0.63804466132955939</v>
      </c>
      <c r="H100" s="109">
        <f>MAX(C100*Data!$C$4/Common_Shares,0)</f>
        <v>0.71450560273603614</v>
      </c>
      <c r="I100" s="109">
        <f>MAX(I97+H98+H99,0)</f>
        <v>0.61387494386272923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452908.4654189237</v>
      </c>
      <c r="D103" s="109">
        <f>MIN(F103*(1-C94),E103)</f>
        <v>0</v>
      </c>
      <c r="E103" s="123">
        <f>PV(C94,D93,0,-F94)</f>
        <v>0</v>
      </c>
      <c r="F103" s="109">
        <f>(E103+H103)/2</f>
        <v>0.12396835333795084</v>
      </c>
      <c r="H103" s="123">
        <f>PV(C94,D93,0,-I94)</f>
        <v>0.24793670667590167</v>
      </c>
      <c r="I103" s="109">
        <f>PV(C93,D93,0,-I94)</f>
        <v>0.32974717434037071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512925.30300301703</v>
      </c>
      <c r="D106" s="109">
        <f>(D100+D103)/2</f>
        <v>0.27116898106506271</v>
      </c>
      <c r="E106" s="123">
        <f>(E100+E103)/2</f>
        <v>0.28079185996154138</v>
      </c>
      <c r="F106" s="109">
        <f>(F100+F103)/2</f>
        <v>0.38100650733375513</v>
      </c>
      <c r="H106" s="123">
        <f>(H100+H103)/2</f>
        <v>0.48122115470596893</v>
      </c>
      <c r="I106" s="123">
        <f>(I100+I103)/2</f>
        <v>0.47181105910154997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