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811306-B745-4EFF-8D62-590196B6536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E95" i="4" l="1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H53" i="2"/>
  <c r="I50" i="2"/>
  <c r="I53" i="2"/>
  <c r="J50" i="2"/>
  <c r="E53" i="2"/>
  <c r="F50" i="2"/>
  <c r="D53" i="2"/>
  <c r="E50" i="2"/>
  <c r="C53" i="2"/>
  <c r="J53" i="2"/>
  <c r="K50" i="2"/>
  <c r="G53" i="2"/>
  <c r="H50" i="2"/>
  <c r="F53" i="2"/>
  <c r="G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L15" i="2"/>
  <c r="M60" i="2"/>
  <c r="E22" i="2"/>
  <c r="E61" i="2" s="1"/>
  <c r="E60" i="2"/>
  <c r="F22" i="2"/>
  <c r="F61" i="2" s="1"/>
  <c r="F60" i="2"/>
  <c r="K15" i="2"/>
  <c r="L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L13" i="2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E57" i="2"/>
  <c r="G57" i="2"/>
  <c r="L59" i="2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<sst xmlns="http://schemas.openxmlformats.org/spreadsheetml/2006/main" count="393" uniqueCount="273">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</sst>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53487810534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268</v>
      </c>
      <c r="D18" s="24"/>
    </row>
    <row r="19" spans="2:13" ht="13.9" x14ac:dyDescent="0.4">
      <c r="B19" s="240" t="s">
        <v>226</v>
      </c>
      <c r="C19" s="242" t="s">
        <v>268</v>
      </c>
      <c r="D19" s="24"/>
    </row>
    <row r="20" spans="2:13" ht="13.9" x14ac:dyDescent="0.4">
      <c r="B20" s="241" t="s">
        <v>215</v>
      </c>
      <c r="C20" s="242" t="s">
        <v>268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0.10988465950682533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102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231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239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194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0998.HK</v>
      </c>
      <c r="D3" s="290"/>
      <c r="E3" s="87"/>
      <c r="F3" s="3" t="s">
        <v>1</v>
      </c>
      <c r="G3" s="132">
        <v>4.97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中信银行</v>
      </c>
      <c r="D4" s="292"/>
      <c r="E4" s="87"/>
      <c r="F4" s="3" t="s">
        <v>2</v>
      </c>
      <c r="G4" s="295">
        <f>Inputs!C10</f>
        <v>53487810534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96</v>
      </c>
      <c r="G5" s="287">
        <f>G3*G4/1000000</f>
        <v>265834.41835398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0.61332352197640583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0.49099920776112166</v>
      </c>
      <c r="F24" s="140" t="s">
        <v>241</v>
      </c>
      <c r="G24" s="268">
        <f>G3/(Fin_Analysis!H86*G7)</f>
        <v>7.6408983282418541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0.53602049799902873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7.0151502476851479E-2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3.121501406174493</v>
      </c>
      <c r="D29" s="129">
        <f>G29*(1+G20)</f>
        <v>5.6167190908058764</v>
      </c>
      <c r="E29" s="87"/>
      <c r="F29" s="131">
        <f>IF(Fin_Analysis!C108="Profit",Fin_Analysis!F100,IF(Fin_Analysis!C108="Dividend",Fin_Analysis!F103,Fin_Analysis!F106))</f>
        <v>3.6723545954994035</v>
      </c>
      <c r="G29" s="286">
        <f>IF(Fin_Analysis!C108="Profit",Fin_Analysis!I100,IF(Fin_Analysis!C108="Dividend",Fin_Analysis!I103,Fin_Analysis!I106))</f>
        <v>4.8841035572225016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4.0139134309552702</v>
      </c>
      <c r="D57" s="153">
        <f t="shared" si="47"/>
        <v>3.3661025351492042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102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92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162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219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153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0.13087466382111862</v>
      </c>
      <c r="D87" s="209"/>
      <c r="E87" s="262">
        <f>E86*Exchange_Rate/Dashboard!G3</f>
        <v>0.13087466382111862</v>
      </c>
      <c r="F87" s="209"/>
      <c r="H87" s="262">
        <f>H86*Exchange_Rate/Dashboard!G3</f>
        <v>0.13087466382111862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208</v>
      </c>
      <c r="C89" s="261">
        <f>C88*Exchange_Rate/Dashboard!G3</f>
        <v>0.10988465950682533</v>
      </c>
      <c r="D89" s="209"/>
      <c r="E89" s="261">
        <f>E88*Exchange_Rate/Dashboard!G3</f>
        <v>7.0151502476851479E-2</v>
      </c>
      <c r="F89" s="209"/>
      <c r="H89" s="261">
        <f>H88*Exchange_Rate/Dashboard!G3</f>
        <v>7.0151502476851479E-2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18.159272942758204</v>
      </c>
      <c r="H93" s="87" t="s">
        <v>196</v>
      </c>
      <c r="I93" s="144">
        <f>FV(H87,D93,0,-(H86/(C93-D94)))*Exchange_Rate</f>
        <v>18.159272942758204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7.3864168107063781</v>
      </c>
      <c r="H94" s="87" t="s">
        <v>197</v>
      </c>
      <c r="I94" s="144">
        <f>FV(H89,D93,0,-(H88/(C93-D94)))*Exchange_Rate</f>
        <v>7.3864168107063781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482907.63899808016</v>
      </c>
      <c r="D97" s="213"/>
      <c r="E97" s="123">
        <f>PV(C94,D93,0,-F93)</f>
        <v>9.0283680370710933</v>
      </c>
      <c r="F97" s="213"/>
      <c r="H97" s="123">
        <f>PV(C94,D93,0,-I93)</f>
        <v>9.0283680370710933</v>
      </c>
      <c r="I97" s="123">
        <f>PV(C93,D93,0,-I93)</f>
        <v>12.007414670634853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482907.63899808016</v>
      </c>
      <c r="D100" s="109">
        <f>MIN(F100*(1-C94),E100)</f>
        <v>7.6741128315104294</v>
      </c>
      <c r="E100" s="109">
        <f>MAX(E97+H98+E99,0)</f>
        <v>9.0283680370710933</v>
      </c>
      <c r="F100" s="109">
        <f>(E100+H100)/2</f>
        <v>9.0283680370710933</v>
      </c>
      <c r="H100" s="109">
        <f>MAX(C100*Data!$C$4/Common_Shares,0)</f>
        <v>9.0283680370710933</v>
      </c>
      <c r="I100" s="109">
        <f>MAX(I97+H98+H99,0)</f>
        <v>12.007414670634853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196426.2068177363</v>
      </c>
      <c r="D103" s="109">
        <f>MIN(F103*(1-C94),E103)</f>
        <v>3.121501406174493</v>
      </c>
      <c r="E103" s="123">
        <f>PV(C94,D93,0,-F94)</f>
        <v>3.6723545954994035</v>
      </c>
      <c r="F103" s="109">
        <f>(E103+H103)/2</f>
        <v>3.6723545954994035</v>
      </c>
      <c r="H103" s="123">
        <f>PV(C94,D93,0,-I94)</f>
        <v>3.6723545954994035</v>
      </c>
      <c r="I103" s="109">
        <f>PV(C93,D93,0,-I94)</f>
        <v>4.8841035572225016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339666.92290790821</v>
      </c>
      <c r="D106" s="109">
        <f>(D100+D103)/2</f>
        <v>5.3978071188424614</v>
      </c>
      <c r="E106" s="123">
        <f>(E100+E103)/2</f>
        <v>6.3503613162852481</v>
      </c>
      <c r="F106" s="109">
        <f>(F100+F103)/2</f>
        <v>6.3503613162852481</v>
      </c>
      <c r="H106" s="123">
        <f>(H100+H103)/2</f>
        <v>6.3503613162852481</v>
      </c>
      <c r="I106" s="123">
        <f>(I100+I103)/2</f>
        <v>8.445759113928677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