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88BEA1-75FC-4CF8-A6EC-41C36FCDE2C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7" i="3"/>
  <c r="M53" i="2"/>
  <c r="F95" i="4" l="1"/>
  <c r="F97" i="4"/>
  <c r="E92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J53" i="2"/>
  <c r="K50" i="2"/>
  <c r="H53" i="2"/>
  <c r="I50" i="2"/>
  <c r="K53" i="2"/>
  <c r="L50" i="2"/>
  <c r="F53" i="2"/>
  <c r="G50" i="2"/>
  <c r="I53" i="2"/>
  <c r="J50" i="2"/>
  <c r="D53" i="2"/>
  <c r="E50" i="2"/>
  <c r="G53" i="2"/>
  <c r="H50" i="2"/>
  <c r="E53" i="2"/>
  <c r="F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E22" i="2"/>
  <c r="E61" i="2" s="1"/>
  <c r="E60" i="2"/>
  <c r="D22" i="2"/>
  <c r="D61" i="2" s="1"/>
  <c r="D60" i="2"/>
  <c r="F22" i="2"/>
  <c r="F61" i="2" s="1"/>
  <c r="F60" i="2"/>
  <c r="K15" i="2"/>
  <c r="L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L59" i="2" l="1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<sst xmlns="http://schemas.openxmlformats.org/spreadsheetml/2006/main" count="393" uniqueCount="273">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</sst>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264</v>
      </c>
    </row>
    <row r="5" spans="1:5" ht="13.9" x14ac:dyDescent="0.4">
      <c r="B5" s="141" t="s">
        <v>182</v>
      </c>
      <c r="C5" s="191" t="s">
        <v>265</v>
      </c>
    </row>
    <row r="6" spans="1:5" ht="13.9" x14ac:dyDescent="0.4">
      <c r="B6" s="141" t="s">
        <v>156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266</v>
      </c>
      <c r="E8" s="267"/>
    </row>
    <row r="9" spans="1:5" ht="13.9" x14ac:dyDescent="0.4">
      <c r="B9" s="140" t="s">
        <v>203</v>
      </c>
      <c r="C9" s="192" t="s">
        <v>267</v>
      </c>
    </row>
    <row r="10" spans="1:5" ht="13.9" x14ac:dyDescent="0.4">
      <c r="B10" s="140" t="s">
        <v>204</v>
      </c>
      <c r="C10" s="193">
        <v>1462217799</v>
      </c>
    </row>
    <row r="11" spans="1:5" ht="13.9" x14ac:dyDescent="0.4">
      <c r="B11" s="140" t="s">
        <v>205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269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270</v>
      </c>
      <c r="D20" s="24"/>
    </row>
    <row r="21" spans="2:13" ht="13.9" x14ac:dyDescent="0.4">
      <c r="B21" s="224" t="s">
        <v>218</v>
      </c>
      <c r="C21" s="242" t="s">
        <v>269</v>
      </c>
      <c r="D21" s="24"/>
    </row>
    <row r="22" spans="2:13" ht="78.75" x14ac:dyDescent="0.4">
      <c r="B22" s="226" t="s">
        <v>217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247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3.8259138601289377E-2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v>815.5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>
        <v>95.8</v>
      </c>
      <c r="D54" s="60">
        <v>0.1</v>
      </c>
      <c r="E54" s="112"/>
    </row>
    <row r="55" spans="2:5" ht="13.9" x14ac:dyDescent="0.4">
      <c r="B55" s="3" t="s">
        <v>43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1525.3</v>
      </c>
      <c r="D70" s="60">
        <v>0.05</v>
      </c>
      <c r="E70" s="112"/>
    </row>
    <row r="71" spans="2:5" ht="13.9" x14ac:dyDescent="0.4">
      <c r="B71" s="3" t="s">
        <v>71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949.6</v>
      </c>
      <c r="D72" s="248">
        <v>0</v>
      </c>
      <c r="E72" s="249"/>
    </row>
    <row r="73" spans="2:5" ht="13.9" x14ac:dyDescent="0.4">
      <c r="B73" s="3" t="s">
        <v>35</v>
      </c>
      <c r="C73" s="59">
        <v>92.8</v>
      </c>
    </row>
    <row r="74" spans="2:5" ht="13.9" x14ac:dyDescent="0.4">
      <c r="B74" s="3" t="s">
        <v>36</v>
      </c>
      <c r="C74" s="59">
        <v>126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58</v>
      </c>
      <c r="C78" s="59">
        <v>1721</v>
      </c>
    </row>
    <row r="79" spans="2:5" ht="13.9" x14ac:dyDescent="0.4">
      <c r="B79" s="3" t="s">
        <v>60</v>
      </c>
      <c r="C79" s="59">
        <v>392.6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>
        <v>121.2</v>
      </c>
    </row>
    <row r="82" spans="2:8" ht="14.25" thickBot="1" x14ac:dyDescent="0.45">
      <c r="B82" s="80" t="s">
        <v>81</v>
      </c>
      <c r="C82" s="83">
        <v>2453.6999999999998</v>
      </c>
    </row>
    <row r="83" spans="2:8" ht="14.25" thickTop="1" x14ac:dyDescent="0.4">
      <c r="B83" s="73" t="s">
        <v>207</v>
      </c>
      <c r="C83" s="59">
        <v>1478.9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102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232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241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194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1910.HK</v>
      </c>
      <c r="D3" s="290"/>
      <c r="E3" s="87"/>
      <c r="F3" s="3" t="s">
        <v>1</v>
      </c>
      <c r="G3" s="132">
        <v>20.85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SAMSONITE</v>
      </c>
      <c r="D4" s="292"/>
      <c r="E4" s="87"/>
      <c r="F4" s="3" t="s">
        <v>2</v>
      </c>
      <c r="G4" s="295">
        <f>Inputs!C10</f>
        <v>1462217799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45591</v>
      </c>
      <c r="D5" s="294"/>
      <c r="E5" s="34"/>
      <c r="F5" s="35" t="s">
        <v>96</v>
      </c>
      <c r="G5" s="287">
        <f>G3*G4/1000000</f>
        <v>30487.24110915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253</v>
      </c>
      <c r="C20" s="276">
        <f>C23*C22*(1/C21)</f>
        <v>0.41862194874568948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251</v>
      </c>
      <c r="C21" s="278">
        <f>Data!C55</f>
        <v>0.28217358951365173</v>
      </c>
      <c r="F21" s="87"/>
      <c r="G21" s="29"/>
    </row>
    <row r="22" spans="1:8" ht="15.75" customHeight="1" x14ac:dyDescent="0.4">
      <c r="B22" s="279" t="s">
        <v>258</v>
      </c>
      <c r="C22" s="280">
        <f>Data!C50</f>
        <v>0.70260059911087369</v>
      </c>
      <c r="F22" s="142" t="s">
        <v>172</v>
      </c>
    </row>
    <row r="23" spans="1:8" ht="15.75" customHeight="1" thickBot="1" x14ac:dyDescent="0.45">
      <c r="B23" s="281" t="s">
        <v>259</v>
      </c>
      <c r="C23" s="282">
        <f>Data!C13</f>
        <v>0.16812404953291338</v>
      </c>
      <c r="F23" s="140" t="s">
        <v>176</v>
      </c>
      <c r="G23" s="177">
        <f>G3/(Data!C36*Data!C4/Common_Shares*Exchange_Rate)</f>
        <v>2.4401041434123409</v>
      </c>
    </row>
    <row r="24" spans="1:8" ht="15.75" customHeight="1" x14ac:dyDescent="0.4">
      <c r="B24" s="137" t="s">
        <v>260</v>
      </c>
      <c r="C24" s="171">
        <f>Fin_Analysis!I81</f>
        <v>4.6980230284597004E-2</v>
      </c>
      <c r="F24" s="140" t="s">
        <v>243</v>
      </c>
      <c r="G24" s="268">
        <f>G3/(Fin_Analysis!H86*G7)</f>
        <v>11.720084759661155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163</v>
      </c>
      <c r="G25" s="171">
        <f>Fin_Analysis!I88</f>
        <v>0.44840034723873545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180</v>
      </c>
      <c r="G26" s="178">
        <f>Fin_Analysis!H88*Exchange_Rate/G3</f>
        <v>3.8259138601289377E-2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17.261797106330238</v>
      </c>
      <c r="D29" s="129">
        <f>G29*(1+G20)</f>
        <v>32.574646203900329</v>
      </c>
      <c r="E29" s="87"/>
      <c r="F29" s="131">
        <f>IF(Fin_Analysis!C108="Profit",Fin_Analysis!F100,IF(Fin_Analysis!C108="Dividend",Fin_Analysis!F103,Fin_Analysis!F106))</f>
        <v>20.307996595682635</v>
      </c>
      <c r="G29" s="286">
        <f>IF(Fin_Analysis!C108="Profit",Fin_Analysis!I100,IF(Fin_Analysis!C108="Dividend",Fin_Analysis!I103,Fin_Analysis!I106))</f>
        <v>28.325779307739417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255</v>
      </c>
      <c r="C50" s="272">
        <f>IF(C6="","",C6/C27)</f>
        <v>0.70260059911087369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256</v>
      </c>
      <c r="C51" s="153">
        <f t="shared" ref="C51:M51" si="42">IF(C29="","",C29/C6)</f>
        <v>9.3987616771670654E-2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257</v>
      </c>
      <c r="C52" s="153">
        <f t="shared" ref="C52:M52" si="43">IF(C30="","",C30/C6)</f>
        <v>0.17317510319356941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246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251</v>
      </c>
      <c r="C55" s="156">
        <f>IF(C36="","",(C36-C37)/C27)</f>
        <v>0.28217358951365173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0.18181447668731671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0.38780542479264718</v>
      </c>
      <c r="D57" s="153">
        <f t="shared" si="47"/>
        <v>0.55818646576079689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1.6054727211114874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252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253</v>
      </c>
      <c r="C60" s="274">
        <f>IF(C14="","",C14/(C36-C37))</f>
        <v>0.41862194874568953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254</v>
      </c>
      <c r="C61" s="274">
        <f>IF(C22="","",C22/(C36-C37))</f>
        <v>0.30164311312461978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1478.9</v>
      </c>
      <c r="K3" s="24"/>
    </row>
    <row r="4" spans="1:11" ht="15" customHeight="1" x14ac:dyDescent="0.4">
      <c r="B4" s="3" t="s">
        <v>23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1.6054727211114874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-2377.8223407711216</v>
      </c>
      <c r="E6" s="56">
        <f>1-D6/D3</f>
        <v>2.4796654267399632</v>
      </c>
      <c r="F6" s="87"/>
      <c r="G6" s="87"/>
      <c r="H6" s="1" t="s">
        <v>26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35</v>
      </c>
      <c r="I11" s="40">
        <f>Inputs!C73</f>
        <v>92.8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126</v>
      </c>
      <c r="J12" s="87"/>
      <c r="K12" s="24"/>
    </row>
    <row r="13" spans="1:11" ht="13.9" x14ac:dyDescent="0.4">
      <c r="B13" s="3" t="s">
        <v>113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218.8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51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52</v>
      </c>
      <c r="I25" s="63">
        <f>E28/I28</f>
        <v>1.075940359200271</v>
      </c>
    </row>
    <row r="26" spans="2:10" ht="15" customHeight="1" x14ac:dyDescent="0.4">
      <c r="B26" s="23" t="s">
        <v>53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54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1721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392.6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121.2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2234.7999999999997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77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79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81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82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128.10000000000036</v>
      </c>
      <c r="D53" s="29">
        <f>IF(E53=0, 0,E53/C53)</f>
        <v>2.4401041434123409</v>
      </c>
      <c r="E53" s="88">
        <f>IF(C53=0,0,MAX(C53,C53*Dashboard!G23))</f>
        <v>312.57734077112178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2453.6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102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92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162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219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153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8.5323615017005333E-2</v>
      </c>
      <c r="D87" s="209"/>
      <c r="E87" s="262">
        <f>E86*Exchange_Rate/Dashboard!G3</f>
        <v>8.5323615017005333E-2</v>
      </c>
      <c r="F87" s="209"/>
      <c r="H87" s="262">
        <f>H86*Exchange_Rate/Dashboard!G3</f>
        <v>8.5323615017005333E-2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208</v>
      </c>
      <c r="C89" s="261">
        <f>C88*Exchange_Rate/Dashboard!G3</f>
        <v>3.8259138601289377E-2</v>
      </c>
      <c r="D89" s="209"/>
      <c r="E89" s="261">
        <f>E88*Exchange_Rate/Dashboard!G3</f>
        <v>3.8259138601289377E-2</v>
      </c>
      <c r="F89" s="209"/>
      <c r="H89" s="261">
        <f>H88*Exchange_Rate/Dashboard!G3</f>
        <v>3.8259138601289377E-2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44.189574394818898</v>
      </c>
      <c r="H93" s="87" t="s">
        <v>196</v>
      </c>
      <c r="I93" s="144">
        <f>FV(H87,D93,0,-(H86/(C93-D94)))*Exchange_Rate</f>
        <v>44.189574394818898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15.875167175952029</v>
      </c>
      <c r="H94" s="87" t="s">
        <v>197</v>
      </c>
      <c r="I94" s="144">
        <f>FV(H89,D93,0,-(H88/(C93-D94)))*Exchange_Rate</f>
        <v>15.875167175952029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32124.966471346288</v>
      </c>
      <c r="D97" s="213"/>
      <c r="E97" s="123">
        <f>PV(C94,D93,0,-F93)</f>
        <v>21.970028331836964</v>
      </c>
      <c r="F97" s="213"/>
      <c r="H97" s="123">
        <f>PV(C94,D93,0,-I93)</f>
        <v>21.970028331836964</v>
      </c>
      <c r="I97" s="123">
        <f>PV(C93,D93,0,-I93)</f>
        <v>29.987811043893746</v>
      </c>
      <c r="K97" s="24"/>
    </row>
    <row r="98" spans="2:11" ht="15" customHeight="1" x14ac:dyDescent="0.4">
      <c r="B98" s="28" t="s">
        <v>140</v>
      </c>
      <c r="C98" s="91">
        <f>-E53*Exchange_Rate</f>
        <v>-2430.2523871077319</v>
      </c>
      <c r="D98" s="213"/>
      <c r="E98" s="213"/>
      <c r="F98" s="213"/>
      <c r="H98" s="123">
        <f>C98*Data!$C$4/Common_Shares</f>
        <v>-1.6620317361543291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29694.714084238556</v>
      </c>
      <c r="D100" s="109">
        <f>MIN(F100*(1-C94),E100)</f>
        <v>17.261797106330238</v>
      </c>
      <c r="E100" s="109">
        <f>MAX(E97+H98+E99,0)</f>
        <v>20.307996595682635</v>
      </c>
      <c r="F100" s="109">
        <f>(E100+H100)/2</f>
        <v>20.307996595682635</v>
      </c>
      <c r="H100" s="109">
        <f>MAX(C100*Data!$C$4/Common_Shares,0)</f>
        <v>20.307996595682635</v>
      </c>
      <c r="I100" s="109">
        <f>MAX(I97+H98+H99,0)</f>
        <v>28.325779307739417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11540.939695365583</v>
      </c>
      <c r="D103" s="109">
        <f>MIN(F103*(1-C94),E103)</f>
        <v>6.7088492205262416</v>
      </c>
      <c r="E103" s="123">
        <f>PV(C94,D93,0,-F94)</f>
        <v>7.8927637888544018</v>
      </c>
      <c r="F103" s="109">
        <f>(E103+H103)/2</f>
        <v>7.8927637888544018</v>
      </c>
      <c r="H103" s="123">
        <f>PV(C94,D93,0,-I94)</f>
        <v>7.8927637888544018</v>
      </c>
      <c r="I103" s="109">
        <f>PV(C93,D93,0,-I94)</f>
        <v>10.773163581735936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20617.826889802072</v>
      </c>
      <c r="D106" s="109">
        <f>(D100+D103)/2</f>
        <v>11.985323163428241</v>
      </c>
      <c r="E106" s="123">
        <f>(E100+E103)/2</f>
        <v>14.100380192268519</v>
      </c>
      <c r="F106" s="109">
        <f>(F100+F103)/2</f>
        <v>14.100380192268519</v>
      </c>
      <c r="H106" s="123">
        <f>(H100+H103)/2</f>
        <v>14.100380192268519</v>
      </c>
      <c r="I106" s="123">
        <f>(I100+I103)/2</f>
        <v>19.549471444737677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