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5CD5063-D9F4-43BB-B44A-0B5352D74B7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E95" i="4" l="1"/>
  <c r="F95" i="4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H53" i="2"/>
  <c r="I50" i="2"/>
  <c r="G53" i="2"/>
  <c r="E53" i="2"/>
  <c r="F53" i="2"/>
  <c r="J53" i="2"/>
  <c r="K50" i="2"/>
  <c r="C53" i="2"/>
  <c r="K53" i="2"/>
  <c r="L50" i="2"/>
  <c r="I53" i="2"/>
  <c r="J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47" i="2"/>
  <c r="J47" i="2"/>
  <c r="F47" i="2"/>
  <c r="C47" i="2"/>
  <c r="M22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G50" i="2" l="1"/>
  <c r="F50" i="2"/>
  <c r="D50" i="2"/>
  <c r="H50" i="2"/>
  <c r="J60" i="2"/>
  <c r="J22" i="2"/>
  <c r="J61" i="2" s="1"/>
  <c r="I60" i="2"/>
  <c r="I22" i="2"/>
  <c r="I61" i="2" s="1"/>
  <c r="D22" i="2"/>
  <c r="D61" i="2" s="1"/>
  <c r="D60" i="2"/>
  <c r="E22" i="2"/>
  <c r="E61" i="2" s="1"/>
  <c r="E60" i="2"/>
  <c r="K15" i="2"/>
  <c r="L60" i="2"/>
  <c r="L15" i="2"/>
  <c r="M60" i="2"/>
  <c r="J15" i="2"/>
  <c r="K60" i="2"/>
  <c r="F22" i="2"/>
  <c r="F61" i="2" s="1"/>
  <c r="F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K59" i="2" s="1"/>
  <c r="E13" i="2"/>
  <c r="L13" i="2"/>
  <c r="E40" i="2"/>
  <c r="G13" i="2"/>
  <c r="D40" i="2"/>
  <c r="D13" i="2"/>
  <c r="D59" i="2" s="1"/>
  <c r="G40" i="2"/>
  <c r="K56" i="2"/>
  <c r="L24" i="2"/>
  <c r="L23" i="2" s="1"/>
  <c r="M57" i="2"/>
  <c r="M56" i="2"/>
  <c r="G59" i="2" l="1"/>
  <c r="L59" i="2"/>
  <c r="M59" i="2"/>
  <c r="E57" i="2"/>
  <c r="E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<sst xmlns="http://schemas.openxmlformats.org/spreadsheetml/2006/main" count="393" uniqueCount="273">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</sst>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265</v>
      </c>
    </row>
    <row r="5" spans="1:5" ht="13.9" x14ac:dyDescent="0.4">
      <c r="B5" s="141" t="s">
        <v>183</v>
      </c>
      <c r="C5" s="191" t="s">
        <v>266</v>
      </c>
    </row>
    <row r="6" spans="1:5" ht="13.9" x14ac:dyDescent="0.4">
      <c r="B6" s="141" t="s">
        <v>157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267</v>
      </c>
      <c r="E8" s="267"/>
    </row>
    <row r="9" spans="1:5" ht="13.9" x14ac:dyDescent="0.4">
      <c r="B9" s="140" t="s">
        <v>204</v>
      </c>
      <c r="C9" s="192" t="s">
        <v>231</v>
      </c>
    </row>
    <row r="10" spans="1:5" ht="13.9" x14ac:dyDescent="0.4">
      <c r="B10" s="140" t="s">
        <v>205</v>
      </c>
      <c r="C10" s="193">
        <v>9987736800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207</v>
      </c>
      <c r="C14" s="219">
        <v>45381</v>
      </c>
    </row>
    <row r="15" spans="1:5" ht="13.9" x14ac:dyDescent="0.4">
      <c r="B15" s="218" t="s">
        <v>241</v>
      </c>
      <c r="C15" s="176" t="s">
        <v>178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212</v>
      </c>
      <c r="C17" s="242" t="s">
        <v>268</v>
      </c>
      <c r="D17" s="24"/>
    </row>
    <row r="18" spans="2:13" ht="13.9" x14ac:dyDescent="0.4">
      <c r="B18" s="240" t="s">
        <v>226</v>
      </c>
      <c r="C18" s="242" t="s">
        <v>232</v>
      </c>
      <c r="D18" s="24"/>
    </row>
    <row r="19" spans="2:13" ht="13.9" x14ac:dyDescent="0.4">
      <c r="B19" s="240" t="s">
        <v>227</v>
      </c>
      <c r="C19" s="242" t="s">
        <v>269</v>
      </c>
      <c r="D19" s="24"/>
    </row>
    <row r="20" spans="2:13" ht="13.9" x14ac:dyDescent="0.4">
      <c r="B20" s="241" t="s">
        <v>216</v>
      </c>
      <c r="C20" s="242" t="s">
        <v>269</v>
      </c>
      <c r="D20" s="24"/>
    </row>
    <row r="21" spans="2:13" ht="13.9" x14ac:dyDescent="0.4">
      <c r="B21" s="224" t="s">
        <v>219</v>
      </c>
      <c r="C21" s="242" t="s">
        <v>268</v>
      </c>
      <c r="D21" s="24"/>
    </row>
    <row r="22" spans="2:13" ht="78.75" x14ac:dyDescent="0.4">
      <c r="B22" s="226" t="s">
        <v>218</v>
      </c>
      <c r="C22" s="243" t="s">
        <v>270</v>
      </c>
      <c r="D22" s="24"/>
    </row>
    <row r="24" spans="2:13" ht="13.9" x14ac:dyDescent="0.4">
      <c r="B24" s="115" t="s">
        <v>130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103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101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108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8.2831325301204836E-2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236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208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237</v>
      </c>
      <c r="C86" s="197">
        <v>5</v>
      </c>
    </row>
    <row r="87" spans="2:8" ht="13.9" x14ac:dyDescent="0.4">
      <c r="B87" s="10" t="s">
        <v>235</v>
      </c>
      <c r="C87" s="236" t="s">
        <v>271</v>
      </c>
      <c r="D87" s="269">
        <v>0.02</v>
      </c>
    </row>
    <row r="89" spans="2:8" ht="13.5" x14ac:dyDescent="0.35">
      <c r="B89" s="106" t="s">
        <v>124</v>
      </c>
      <c r="C89" s="283">
        <f>C24</f>
        <v>45381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103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234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242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233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195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1929.HK</v>
      </c>
      <c r="D3" s="290"/>
      <c r="E3" s="87"/>
      <c r="F3" s="3" t="s">
        <v>1</v>
      </c>
      <c r="G3" s="132">
        <v>6.64</v>
      </c>
      <c r="H3" s="134" t="s">
        <v>272</v>
      </c>
    </row>
    <row r="4" spans="1:10" ht="15.75" customHeight="1" x14ac:dyDescent="0.4">
      <c r="B4" s="35" t="s">
        <v>183</v>
      </c>
      <c r="C4" s="291" t="str">
        <f>Inputs!C5</f>
        <v>周大福</v>
      </c>
      <c r="D4" s="292"/>
      <c r="E4" s="87"/>
      <c r="F4" s="3" t="s">
        <v>3</v>
      </c>
      <c r="G4" s="295">
        <f>Inputs!C10</f>
        <v>9987736800</v>
      </c>
      <c r="H4" s="295"/>
      <c r="I4" s="39"/>
    </row>
    <row r="5" spans="1:10" ht="15.75" customHeight="1" x14ac:dyDescent="0.4">
      <c r="B5" s="3" t="s">
        <v>157</v>
      </c>
      <c r="C5" s="293">
        <f>Inputs!C6</f>
        <v>45593</v>
      </c>
      <c r="D5" s="294"/>
      <c r="E5" s="34"/>
      <c r="F5" s="35" t="s">
        <v>97</v>
      </c>
      <c r="G5" s="287">
        <f>G3*G4/1000000</f>
        <v>66318.572352000003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173</v>
      </c>
    </row>
    <row r="23" spans="1:8" ht="15.75" customHeight="1" thickBot="1" x14ac:dyDescent="0.45">
      <c r="B23" s="281" t="s">
        <v>260</v>
      </c>
      <c r="C23" s="282">
        <f>Data!C13</f>
        <v>8.1323607418922597E-2</v>
      </c>
      <c r="F23" s="140" t="s">
        <v>177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6.4812855868203439E-3</v>
      </c>
      <c r="F24" s="140" t="s">
        <v>244</v>
      </c>
      <c r="G24" s="268">
        <f>G3/(Fin_Analysis!H86*G7)</f>
        <v>10.867888459502645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164</v>
      </c>
      <c r="G25" s="171">
        <f>Fin_Analysis!I88</f>
        <v>0.90020160432627339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181</v>
      </c>
      <c r="G26" s="178">
        <f>Fin_Analysis!H88*Exchange_Rate/G3</f>
        <v>8.2831325301204836E-2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4.9673603169848883</v>
      </c>
      <c r="D29" s="129">
        <f>G29*(1+G20)</f>
        <v>10.539931302367208</v>
      </c>
      <c r="E29" s="87"/>
      <c r="F29" s="131">
        <f>IF(Fin_Analysis!C108="Profit",Fin_Analysis!F100,IF(Fin_Analysis!C108="Dividend",Fin_Analysis!F103,Fin_Analysis!F106))</f>
        <v>5.8439533140998687</v>
      </c>
      <c r="G29" s="286">
        <f>IF(Fin_Analysis!C108="Profit",Fin_Analysis!I100,IF(Fin_Analysis!C108="Dividend",Fin_Analysis!I103,Fin_Analysis!I106))</f>
        <v>9.1651576542323561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Strongly agree</v>
      </c>
    </row>
    <row r="34" spans="1:3" ht="15.75" customHeight="1" x14ac:dyDescent="0.4">
      <c r="A34"/>
      <c r="B34" s="19" t="s">
        <v>213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agree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agree</v>
      </c>
    </row>
    <row r="40" spans="1:3" ht="15.75" customHeight="1" x14ac:dyDescent="0.4">
      <c r="A40"/>
      <c r="B40" s="1" t="s">
        <v>219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188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189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130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e">
        <f t="shared" si="41"/>
        <v>#VALUE!</v>
      </c>
      <c r="J50" s="272" t="e">
        <f t="shared" si="41"/>
        <v>#VALUE!</v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e">
        <f t="shared" si="44"/>
        <v>#VALUE!</v>
      </c>
      <c r="I53" s="153" t="e">
        <f t="shared" si="44"/>
        <v>#VALUE!</v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8.6599205211192604E-2</v>
      </c>
      <c r="D57" s="153">
        <f t="shared" si="47"/>
        <v>8.6722499851857676E-2</v>
      </c>
      <c r="E57" s="153">
        <f t="shared" si="47"/>
        <v>4.3435573352998177E-2</v>
      </c>
      <c r="F57" s="153">
        <f t="shared" si="47"/>
        <v>4.9404128398176213E-2</v>
      </c>
      <c r="G57" s="153">
        <f t="shared" si="47"/>
        <v>0.1460893174144591</v>
      </c>
      <c r="H57" s="153">
        <f t="shared" si="47"/>
        <v>6.1468062502766631E-2</v>
      </c>
      <c r="I57" s="153">
        <f t="shared" si="47"/>
        <v>5.009181100635824E-2</v>
      </c>
      <c r="J57" s="153">
        <f t="shared" si="47"/>
        <v>5.5654001160438483E-2</v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e">
        <f t="shared" si="50"/>
        <v>#VALUE!</v>
      </c>
      <c r="J60" s="274" t="e">
        <f t="shared" si="50"/>
        <v>#VALUE!</v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e">
        <f t="shared" si="51"/>
        <v>#VALUE!</v>
      </c>
      <c r="J61" s="274" t="e">
        <f t="shared" si="51"/>
        <v>#VALUE!</v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45381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103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93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234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163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220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233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158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154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9.2014194268401961E-2</v>
      </c>
      <c r="D87" s="209"/>
      <c r="E87" s="262">
        <f>E86*Exchange_Rate/Dashboard!G3</f>
        <v>9.2014194268401961E-2</v>
      </c>
      <c r="F87" s="209"/>
      <c r="H87" s="262">
        <f>H86*Exchange_Rate/Dashboard!G3</f>
        <v>9.2014194268401961E-2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209</v>
      </c>
      <c r="C89" s="261">
        <f>C88*Exchange_Rate/Dashboard!G3</f>
        <v>8.2831325301204836E-2</v>
      </c>
      <c r="D89" s="209"/>
      <c r="E89" s="261">
        <f>E88*Exchange_Rate/Dashboard!G3</f>
        <v>6.6265060240963861E-2</v>
      </c>
      <c r="F89" s="209"/>
      <c r="H89" s="261">
        <f>H88*Exchange_Rate/Dashboard!G3</f>
        <v>8.2831325301204836E-2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15.649936244870419</v>
      </c>
      <c r="H93" s="87" t="s">
        <v>197</v>
      </c>
      <c r="I93" s="144">
        <f>FV(H87,D93,0,-(H86/(C93-D94)))*Exchange_Rate</f>
        <v>15.649936244870419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10.002920483848715</v>
      </c>
      <c r="H94" s="87" t="s">
        <v>198</v>
      </c>
      <c r="I94" s="144">
        <f>FV(H89,D93,0,-(H88/(C93-D94)))*Exchange_Rate</f>
        <v>13.505634519609707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77712.424785588286</v>
      </c>
      <c r="D97" s="213"/>
      <c r="E97" s="123">
        <f>PV(C94,D93,0,-F93)</f>
        <v>7.7807842098510536</v>
      </c>
      <c r="F97" s="213"/>
      <c r="H97" s="123">
        <f>PV(C94,D93,0,-I93)</f>
        <v>7.7807842098510536</v>
      </c>
      <c r="I97" s="123">
        <f>PV(C93,D93,0,-I93)</f>
        <v>10.620317968375435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77712.424785588286</v>
      </c>
      <c r="D100" s="109">
        <f>MIN(F100*(1-C94),E100)</f>
        <v>6.6136665783733957</v>
      </c>
      <c r="E100" s="109">
        <f>MAX(E97+H98+E99,0)</f>
        <v>7.7807842098510536</v>
      </c>
      <c r="F100" s="109">
        <f>(E100+H100)/2</f>
        <v>7.7807842098510536</v>
      </c>
      <c r="H100" s="109">
        <f>MAX(C100*Data!$C$4/Common_Shares,0)</f>
        <v>7.7807842098510536</v>
      </c>
      <c r="I100" s="109">
        <f>MAX(I97+H98+H99,0)</f>
        <v>10.620317968375435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67064.529232879606</v>
      </c>
      <c r="D103" s="109">
        <f>MIN(F103*(1-C94),E103)</f>
        <v>4.9673603169848883</v>
      </c>
      <c r="E103" s="123">
        <f>PV(C94,D93,0,-F94)</f>
        <v>4.9732193496082946</v>
      </c>
      <c r="F103" s="109">
        <f>(E103+H103)/2</f>
        <v>5.8439533140998687</v>
      </c>
      <c r="H103" s="123">
        <f>PV(C94,D93,0,-I94)</f>
        <v>6.714687278591442</v>
      </c>
      <c r="I103" s="109">
        <f>PV(C93,D93,0,-I94)</f>
        <v>9.1651576542323561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63691.815349071563</v>
      </c>
      <c r="D106" s="109">
        <f>(D100+D103)/2</f>
        <v>5.7905134476791424</v>
      </c>
      <c r="E106" s="123">
        <f>(E100+E103)/2</f>
        <v>6.3770017797296745</v>
      </c>
      <c r="F106" s="109">
        <f>(F100+F103)/2</f>
        <v>6.8123687619754616</v>
      </c>
      <c r="H106" s="123">
        <f>(H100+H103)/2</f>
        <v>7.2477357442212478</v>
      </c>
      <c r="I106" s="123">
        <f>(I100+I103)/2</f>
        <v>9.8927378113038955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