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08ACD44-BBD1-4C2A-A54B-F2ED4931D1B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5" i="4"/>
  <c r="E95" i="4"/>
  <c r="F94" i="4"/>
  <c r="F93" i="4"/>
  <c r="F91" i="4"/>
  <c r="F92" i="4" s="1"/>
  <c r="E91" i="4"/>
  <c r="E93" i="4" s="1"/>
  <c r="D69" i="4"/>
  <c r="D68" i="4"/>
  <c r="C68" i="4"/>
  <c r="D67" i="4"/>
  <c r="D62" i="4"/>
  <c r="D63" i="4" s="1"/>
  <c r="D61" i="4"/>
  <c r="D60" i="4"/>
  <c r="D59" i="4"/>
  <c r="D58" i="4"/>
  <c r="D71" i="4" s="1"/>
  <c r="D55" i="4"/>
  <c r="D50" i="4"/>
  <c r="D56" i="4" s="1"/>
  <c r="C50" i="4"/>
  <c r="D44" i="4"/>
  <c r="C44" i="4"/>
  <c r="C27" i="4"/>
  <c r="B7" i="3"/>
  <c r="M53" i="2"/>
  <c r="E92" i="4" l="1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J27" i="2"/>
  <c r="J55" i="2"/>
  <c r="I27" i="2"/>
  <c r="I55" i="2"/>
  <c r="K27" i="2"/>
  <c r="K55" i="2"/>
  <c r="K53" i="2"/>
  <c r="L50" i="2"/>
  <c r="I53" i="2"/>
  <c r="J50" i="2"/>
  <c r="G53" i="2"/>
  <c r="H50" i="2"/>
  <c r="E53" i="2"/>
  <c r="F53" i="2"/>
  <c r="G50" i="2"/>
  <c r="D53" i="2"/>
  <c r="E50" i="2"/>
  <c r="C53" i="2"/>
  <c r="J53" i="2"/>
  <c r="K50" i="2"/>
  <c r="H53" i="2"/>
  <c r="I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F50" i="2"/>
  <c r="F22" i="2"/>
  <c r="F61" i="2" s="1"/>
  <c r="F60" i="2"/>
  <c r="K15" i="2"/>
  <c r="L60" i="2"/>
  <c r="E22" i="2"/>
  <c r="E61" i="2" s="1"/>
  <c r="E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D15" i="2"/>
  <c r="E15" i="2"/>
  <c r="K13" i="2"/>
  <c r="E13" i="2"/>
  <c r="L13" i="2"/>
  <c r="E40" i="2"/>
  <c r="G13" i="2"/>
  <c r="E57" i="2"/>
  <c r="D40" i="2"/>
  <c r="D13" i="2"/>
  <c r="G40" i="2"/>
  <c r="K56" i="2"/>
  <c r="L24" i="2"/>
  <c r="L23" i="2" s="1"/>
  <c r="M57" i="2"/>
  <c r="M56" i="2"/>
  <c r="G59" i="2" l="1"/>
  <c r="E59" i="2"/>
  <c r="K59" i="2"/>
  <c r="D59" i="2"/>
  <c r="G57" i="2"/>
  <c r="L59" i="2"/>
  <c r="M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C61" i="2" l="1"/>
  <c r="E99" i="3"/>
  <c r="G23" i="1"/>
  <c r="E53" i="3" s="1"/>
  <c r="C27" i="2"/>
  <c r="C50" i="2" s="1"/>
  <c r="C37" i="2"/>
  <c r="C55" i="2" s="1"/>
  <c r="C21" i="1" s="1"/>
  <c r="C22" i="1" l="1"/>
  <c r="C20" i="1" s="1"/>
  <c r="C60" i="2"/>
  <c r="C59" i="2" s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<sst xmlns="http://schemas.openxmlformats.org/spreadsheetml/2006/main" count="393" uniqueCount="271">
  <si>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</si>
  <si>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</si>
  <si>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</si>
  <si>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</si>
  <si>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</si>
  <si>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</si>
  <si>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</si>
  <si>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</si>
  <si>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</si>
  <si>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</si>
  <si>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</si>
  <si>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</si>
  <si>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</si>
  <si>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</si>
  <si>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</si>
  <si>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</si>
  <si>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</si>
  <si>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</si>
  <si>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</si>
  <si>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</si>
  <si>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</si>
  <si>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</si>
  <si>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</si>
  <si>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</si>
  <si>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</si>
  <si>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</si>
  <si>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</si>
  <si>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</si>
  <si>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</si>
  <si>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</si>
  <si>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</si>
  <si>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</si>
  <si>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</si>
  <si>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</si>
  <si>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</si>
  <si>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</si>
  <si>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</si>
  <si>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</si>
  <si>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</si>
  <si>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</si>
  <si>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</si>
  <si>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</si>
  <si>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</si>
  <si>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</si>
  <si>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</si>
  <si>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</si>
  <si>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</si>
  <si>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</si>
  <si>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</si>
  <si>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</si>
  <si>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</si>
  <si>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</si>
  <si>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</si>
  <si>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</si>
  <si>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</si>
  <si>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</si>
  <si>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</si>
  <si>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</si>
  <si>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</si>
  <si>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</si>
  <si>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</si>
  <si>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</si>
  <si>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</si>
  <si>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</si>
  <si>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</si>
  <si>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</si>
  <si>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</si>
  <si>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</si>
  <si>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</si>
  <si>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</si>
  <si>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</si>
  <si>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</si>
  <si>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</si>
  <si>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</si>
  <si>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</si>
  <si>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</si>
  <si>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</si>
  <si>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</si>
  <si>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</si>
  <si>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</si>
  <si>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</si>
  <si>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</si>
  <si>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</si>
  <si>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</si>
  <si>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</si>
  <si>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</si>
  <si>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</si>
  <si>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</si>
  <si>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</si>
  <si>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</si>
  <si>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</si>
  <si>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</si>
  <si>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</si>
  <si>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</si>
  <si>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</si>
  <si>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</si>
  <si>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</si>
  <si>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</si>
  <si>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</si>
  <si>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</si>
  <si>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</si>
  <si>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</si>
  <si>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</si>
  <si>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</si>
  <si>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</si>
  <si>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</si>
  <si>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</si>
  <si>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</si>
  <si>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</si>
  <si>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</si>
  <si>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</si>
  <si>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</si>
  <si>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</si>
  <si>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</si>
  <si>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</si>
  <si>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</si>
  <si>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</si>
  <si>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</si>
  <si>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</si>
  <si>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</si>
  <si>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</si>
  <si>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</si>
  <si>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</si>
  <si>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</si>
  <si>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</si>
  <si>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</si>
  <si>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</si>
  <si>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</si>
  <si>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</si>
  <si>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</si>
  <si>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</si>
  <si>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</si>
  <si>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</si>
  <si>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</si>
  <si>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</si>
  <si>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</si>
  <si>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</si>
  <si>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</si>
  <si>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</si>
  <si>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</si>
  <si>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</si>
  <si>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</si>
  <si>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</si>
  <si>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</si>
  <si>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</si>
  <si>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</si>
  <si>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</si>
  <si>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</si>
  <si>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</si>
  <si>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</si>
  <si>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</si>
  <si>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</si>
  <si>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</si>
  <si>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</si>
  <si>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</si>
  <si>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</si>
  <si>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</si>
  <si>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</si>
  <si>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</si>
  <si>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</si>
  <si>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</si>
  <si>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</si>
  <si>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</si>
  <si>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</si>
  <si>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</si>
  <si>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</si>
  <si>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</si>
  <si>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</si>
  <si>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</si>
  <si>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</si>
  <si>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</si>
  <si>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</si>
  <si>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</si>
  <si>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</si>
  <si>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</si>
  <si>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</si>
  <si>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</si>
  <si>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</si>
  <si>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</si>
  <si>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</si>
  <si>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</si>
  <si>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</si>
  <si>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</si>
  <si>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</si>
  <si>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</si>
  <si>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</si>
  <si>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</si>
  <si>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</si>
  <si>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</si>
  <si>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</si>
  <si>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</si>
  <si>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</si>
  <si>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</si>
  <si>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</si>
  <si>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</si>
  <si>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</si>
  <si>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</si>
  <si>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</si>
  <si>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</si>
  <si>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</si>
  <si>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</si>
  <si>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</si>
  <si>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</si>
  <si>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</si>
  <si>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</si>
  <si>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</si>
  <si>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</si>
  <si>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</si>
  <si>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</si>
  <si>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</si>
  <si>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</si>
  <si>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</si>
  <si>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</si>
  <si>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</si>
  <si>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</si>
  <si>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</si>
  <si>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</si>
  <si>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</si>
  <si>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</si>
  <si>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</si>
  <si>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</si>
  <si>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</si>
  <si>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</si>
  <si>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</si>
  <si>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</si>
  <si>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</si>
  <si>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</si>
  <si>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</si>
  <si>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</si>
  <si>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</si>
  <si>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</si>
  <si>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</si>
  <si>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</si>
  <si>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</si>
  <si>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</si>
  <si>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</si>
  <si>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</si>
  <si>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</si>
  <si>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</si>
  <si>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</si>
  <si>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</si>
  <si>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</si>
  <si>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</si>
  <si>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</si>
  <si>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</si>
  <si>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</si>
  <si>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</si>
  <si>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</si>
  <si>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</si>
  <si>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</si>
  <si>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</si>
  <si>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</si>
  <si>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</si>
  <si>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</si>
  <si>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</si>
  <si>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</si>
  <si>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</si>
  <si>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</si>
  <si>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</si>
  <si>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</si>
  <si>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</si>
  <si>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</si>
  <si>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</si>
  <si>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</si>
  <si>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</si>
  <si>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</si>
  <si>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1969.HK</t>
  </si>
  <si>
    <t>中國春來</t>
  </si>
  <si>
    <t>C0016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</si>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</sst>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266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67</v>
      </c>
      <c r="E8" s="267"/>
    </row>
    <row r="9" spans="1:5" ht="13.9" x14ac:dyDescent="0.4">
      <c r="B9" s="140" t="s">
        <v>203</v>
      </c>
      <c r="C9" s="192" t="s">
        <v>268</v>
      </c>
    </row>
    <row r="10" spans="1:5" ht="13.9" x14ac:dyDescent="0.4">
      <c r="B10" s="140" t="s">
        <v>204</v>
      </c>
      <c r="C10" s="193">
        <v>1200000000</v>
      </c>
    </row>
    <row r="11" spans="1:5" ht="13.9" x14ac:dyDescent="0.4">
      <c r="B11" s="140" t="s">
        <v>205</v>
      </c>
      <c r="C11" s="192" t="s">
        <v>269</v>
      </c>
    </row>
    <row r="12" spans="1:5" ht="13.9" x14ac:dyDescent="0.4">
      <c r="B12" s="218" t="s">
        <v>9</v>
      </c>
      <c r="C12" s="219">
        <v>45169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245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45169</v>
      </c>
      <c r="D24" s="49">
        <f>EOMONTH(EDATE(C24,-12),0)</f>
        <v>44804</v>
      </c>
      <c r="E24" s="49">
        <f t="shared" ref="E24:M24" si="0">EOMONTH(EDATE(D24,-12),0)</f>
        <v>44439</v>
      </c>
      <c r="F24" s="49">
        <f t="shared" si="0"/>
        <v>44074</v>
      </c>
      <c r="G24" s="49">
        <f t="shared" si="0"/>
        <v>43708</v>
      </c>
      <c r="H24" s="49">
        <f t="shared" si="0"/>
        <v>43343</v>
      </c>
      <c r="I24" s="49">
        <f t="shared" si="0"/>
        <v>42978</v>
      </c>
      <c r="J24" s="49">
        <f t="shared" si="0"/>
        <v>42613</v>
      </c>
      <c r="K24" s="49">
        <f t="shared" si="0"/>
        <v>42247</v>
      </c>
      <c r="L24" s="49">
        <f t="shared" si="0"/>
        <v>41882</v>
      </c>
      <c r="M24" s="49">
        <f t="shared" si="0"/>
        <v>41517</v>
      </c>
    </row>
    <row r="25" spans="2:13" ht="13.9" x14ac:dyDescent="0.4">
      <c r="B25" s="94" t="s">
        <v>11</v>
      </c>
      <c r="C25" s="149">
        <v>1497962</v>
      </c>
      <c r="D25" s="149">
        <v>1309197</v>
      </c>
      <c r="E25" s="149">
        <v>1041999</v>
      </c>
      <c r="F25" s="149">
        <v>702493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607907</v>
      </c>
      <c r="D26" s="150">
        <v>482494</v>
      </c>
      <c r="E26" s="150">
        <v>410560</v>
      </c>
      <c r="F26" s="150">
        <v>332916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174378+5109</f>
        <v>179487</v>
      </c>
      <c r="D27" s="150">
        <v>203486</v>
      </c>
      <c r="E27" s="150">
        <v>191402</v>
      </c>
      <c r="F27" s="150">
        <v>142033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124545</v>
      </c>
      <c r="D29" s="150">
        <v>135797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0.0924+0.0907</f>
        <v>0.18309999999999998</v>
      </c>
      <c r="D44" s="250">
        <f>0.053+0.1</f>
        <v>0.153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4.4797056057724126E-2</v>
      </c>
      <c r="D45" s="152">
        <f>IF(D44="","",D44*Exchange_Rate/Dashboard!$G$3)</f>
        <v>3.7432821282533002E-2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>
        <v>382919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f>1018629+7</f>
        <v>1018636</v>
      </c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246</v>
      </c>
      <c r="C64" s="59">
        <v>800111</v>
      </c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f>3112520+681371</f>
        <v>3793891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188000</v>
      </c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436546</v>
      </c>
      <c r="D72" s="248">
        <v>0</v>
      </c>
      <c r="E72" s="249"/>
    </row>
    <row r="73" spans="2:5" ht="13.9" x14ac:dyDescent="0.4">
      <c r="B73" s="3" t="s">
        <v>35</v>
      </c>
      <c r="C73" s="59">
        <v>1333523</v>
      </c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2476486</v>
      </c>
    </row>
    <row r="78" spans="2:5" ht="14.25" thickTop="1" x14ac:dyDescent="0.4">
      <c r="B78" s="3" t="s">
        <v>58</v>
      </c>
      <c r="C78" s="59">
        <v>545657</v>
      </c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546386</v>
      </c>
    </row>
    <row r="83" spans="2:8" ht="14.25" thickTop="1" x14ac:dyDescent="0.4">
      <c r="B83" s="73" t="s">
        <v>207</v>
      </c>
      <c r="C83" s="59">
        <v>3597231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45169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1497962</v>
      </c>
      <c r="D91" s="209"/>
      <c r="E91" s="251">
        <f>C91</f>
        <v>1497962</v>
      </c>
      <c r="F91" s="251">
        <f>C91</f>
        <v>1497962</v>
      </c>
    </row>
    <row r="92" spans="2:8" ht="13.9" x14ac:dyDescent="0.4">
      <c r="B92" s="104" t="s">
        <v>102</v>
      </c>
      <c r="C92" s="77">
        <f>C26</f>
        <v>607907</v>
      </c>
      <c r="D92" s="159">
        <f>C92/C91</f>
        <v>0.40582271112351315</v>
      </c>
      <c r="E92" s="252">
        <f>E91*D92</f>
        <v>607907</v>
      </c>
      <c r="F92" s="252">
        <f>F91*D92</f>
        <v>607907</v>
      </c>
    </row>
    <row r="93" spans="2:8" ht="13.9" x14ac:dyDescent="0.4">
      <c r="B93" s="104" t="s">
        <v>232</v>
      </c>
      <c r="C93" s="77">
        <f>C27+C28</f>
        <v>179487</v>
      </c>
      <c r="D93" s="159">
        <f>C93/C91</f>
        <v>0.11982079652220817</v>
      </c>
      <c r="E93" s="252">
        <f>E91*D93</f>
        <v>179487</v>
      </c>
      <c r="F93" s="252">
        <f>F91*D93</f>
        <v>179487</v>
      </c>
    </row>
    <row r="94" spans="2:8" ht="13.9" x14ac:dyDescent="0.4">
      <c r="B94" s="104" t="s">
        <v>241</v>
      </c>
      <c r="C94" s="77">
        <f>C29</f>
        <v>124545</v>
      </c>
      <c r="D94" s="159">
        <f>C94/C91</f>
        <v>8.3142963573174758E-2</v>
      </c>
      <c r="E94" s="253"/>
      <c r="F94" s="252">
        <f>F91*D94</f>
        <v>124545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194</v>
      </c>
      <c r="C98" s="237">
        <f>C44</f>
        <v>0.18309999999999998</v>
      </c>
      <c r="D98" s="266"/>
      <c r="E98" s="254">
        <f>F98</f>
        <v>0.18309999999999998</v>
      </c>
      <c r="F98" s="254">
        <f>C98</f>
        <v>0.18309999999999998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1969.HK : 中國春來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1969.HK</v>
      </c>
      <c r="D3" s="290"/>
      <c r="E3" s="87"/>
      <c r="F3" s="3" t="s">
        <v>1</v>
      </c>
      <c r="G3" s="132">
        <v>4.37</v>
      </c>
      <c r="H3" s="134" t="s">
        <v>270</v>
      </c>
    </row>
    <row r="4" spans="1:10" ht="15.75" customHeight="1" x14ac:dyDescent="0.4">
      <c r="B4" s="35" t="s">
        <v>182</v>
      </c>
      <c r="C4" s="291" t="str">
        <f>Inputs!C5</f>
        <v>中國春來</v>
      </c>
      <c r="D4" s="292"/>
      <c r="E4" s="87"/>
      <c r="F4" s="3" t="s">
        <v>2</v>
      </c>
      <c r="G4" s="295">
        <f>Inputs!C10</f>
        <v>1200000000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45637</v>
      </c>
      <c r="D5" s="294"/>
      <c r="E5" s="34"/>
      <c r="F5" s="35" t="s">
        <v>96</v>
      </c>
      <c r="G5" s="287">
        <f>G3*G4/1000000</f>
        <v>5244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45169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N</v>
      </c>
      <c r="D7" s="187" t="str">
        <f>Inputs!C9</f>
        <v>C0016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265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255</v>
      </c>
      <c r="C20" s="276">
        <f>C23*C22*(1/C21)</f>
        <v>0.19753193497998878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253</v>
      </c>
      <c r="C21" s="278">
        <f>Data!C55</f>
        <v>0.54337991417958298</v>
      </c>
      <c r="F21" s="87"/>
      <c r="G21" s="29"/>
    </row>
    <row r="22" spans="1:8" ht="15.75" customHeight="1" x14ac:dyDescent="0.4">
      <c r="B22" s="279" t="s">
        <v>260</v>
      </c>
      <c r="C22" s="280">
        <f>Data!C50</f>
        <v>0.22627472714548399</v>
      </c>
      <c r="F22" s="142" t="s">
        <v>172</v>
      </c>
    </row>
    <row r="23" spans="1:8" ht="15.75" customHeight="1" thickBot="1" x14ac:dyDescent="0.45">
      <c r="B23" s="281" t="s">
        <v>261</v>
      </c>
      <c r="C23" s="282">
        <f>Data!C13</f>
        <v>0.47435649235427868</v>
      </c>
      <c r="F23" s="140" t="s">
        <v>176</v>
      </c>
      <c r="G23" s="177">
        <f>G3/(Data!C36*Data!C4/Common_Shares*Exchange_Rate)</f>
        <v>1.3634894711910754</v>
      </c>
    </row>
    <row r="24" spans="1:8" ht="15.75" customHeight="1" x14ac:dyDescent="0.4">
      <c r="B24" s="137" t="s">
        <v>262</v>
      </c>
      <c r="C24" s="171">
        <f>Fin_Analysis!I81</f>
        <v>8.3142963573174758E-2</v>
      </c>
      <c r="F24" s="140" t="s">
        <v>244</v>
      </c>
      <c r="G24" s="268">
        <f>G3/(Fin_Analysis!H86*G7)</f>
        <v>11.159485990463727</v>
      </c>
    </row>
    <row r="25" spans="1:8" ht="15.75" customHeight="1" x14ac:dyDescent="0.4">
      <c r="B25" s="137" t="s">
        <v>263</v>
      </c>
      <c r="C25" s="171">
        <f>Fin_Analysis!I80</f>
        <v>0</v>
      </c>
      <c r="F25" s="140" t="s">
        <v>163</v>
      </c>
      <c r="G25" s="171">
        <f>Fin_Analysis!I88</f>
        <v>0.49991211949019065</v>
      </c>
    </row>
    <row r="26" spans="1:8" ht="15.75" customHeight="1" x14ac:dyDescent="0.4">
      <c r="B26" s="138" t="s">
        <v>264</v>
      </c>
      <c r="C26" s="171">
        <f>Fin_Analysis!I80+Fin_Analysis!I82</f>
        <v>0</v>
      </c>
      <c r="F26" s="141" t="s">
        <v>180</v>
      </c>
      <c r="G26" s="178">
        <f>Fin_Analysis!H88*Exchange_Rate/G3</f>
        <v>4.4797056057724126E-2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2.5871979016912756</v>
      </c>
      <c r="D29" s="129">
        <f>G29*(1+G20)</f>
        <v>5.3309580020885257</v>
      </c>
      <c r="E29" s="87"/>
      <c r="F29" s="131">
        <f>IF(Fin_Analysis!C108="Profit",Fin_Analysis!F100,IF(Fin_Analysis!C108="Dividend",Fin_Analysis!F103,Fin_Analysis!F106))</f>
        <v>3.043762237283854</v>
      </c>
      <c r="G29" s="286">
        <f>IF(Fin_Analysis!C108="Profit",Fin_Analysis!I100,IF(Fin_Analysis!C108="Dividend",Fin_Analysis!I103,Fin_Analysis!I106))</f>
        <v>4.6356156539900226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45169</v>
      </c>
      <c r="E3" s="146" t="s">
        <v>187</v>
      </c>
      <c r="F3" s="85" t="str">
        <f>H14</f>
        <v/>
      </c>
      <c r="G3" s="85">
        <f>C14</f>
        <v>710568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45169</v>
      </c>
      <c r="D5" s="49">
        <f>EOMONTH(EDATE(C5,-12),0)</f>
        <v>44804</v>
      </c>
      <c r="E5" s="49">
        <f t="shared" ref="E5:M5" si="0">EOMONTH(EDATE(D5,-12),0)</f>
        <v>44439</v>
      </c>
      <c r="F5" s="49">
        <f t="shared" si="0"/>
        <v>44074</v>
      </c>
      <c r="G5" s="49">
        <f t="shared" si="0"/>
        <v>43708</v>
      </c>
      <c r="H5" s="49">
        <f t="shared" si="0"/>
        <v>43343</v>
      </c>
      <c r="I5" s="49">
        <f t="shared" si="0"/>
        <v>42978</v>
      </c>
      <c r="J5" s="49">
        <f t="shared" si="0"/>
        <v>42613</v>
      </c>
      <c r="K5" s="49">
        <f t="shared" si="0"/>
        <v>42247</v>
      </c>
      <c r="L5" s="49">
        <f t="shared" si="0"/>
        <v>41882</v>
      </c>
      <c r="M5" s="49">
        <f t="shared" si="0"/>
        <v>41517</v>
      </c>
    </row>
    <row r="6" spans="1:14" ht="15.75" customHeight="1" x14ac:dyDescent="0.4">
      <c r="A6" s="4"/>
      <c r="B6" s="94" t="s">
        <v>11</v>
      </c>
      <c r="C6" s="200">
        <f>IF(Inputs!C25=""," ",Inputs!C25)</f>
        <v>1497962</v>
      </c>
      <c r="D6" s="200">
        <f>IF(Inputs!D25="","",Inputs!D25)</f>
        <v>1309197</v>
      </c>
      <c r="E6" s="200">
        <f>IF(Inputs!E25="","",Inputs!E25)</f>
        <v>1041999</v>
      </c>
      <c r="F6" s="200">
        <f>IF(Inputs!F25="","",Inputs!F25)</f>
        <v>702493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0.1441838012155543</v>
      </c>
      <c r="D7" s="92">
        <f t="shared" si="1"/>
        <v>0.25642826912501837</v>
      </c>
      <c r="E7" s="92">
        <f t="shared" si="1"/>
        <v>0.48328737795252041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607907</v>
      </c>
      <c r="D8" s="199">
        <f>IF(Inputs!D26="","",Inputs!D26)</f>
        <v>482494</v>
      </c>
      <c r="E8" s="199">
        <f>IF(Inputs!E26="","",Inputs!E26)</f>
        <v>410560</v>
      </c>
      <c r="F8" s="199">
        <f>IF(Inputs!F26="","",Inputs!F26)</f>
        <v>332916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890055</v>
      </c>
      <c r="D9" s="151">
        <f t="shared" si="2"/>
        <v>826703</v>
      </c>
      <c r="E9" s="151">
        <f t="shared" si="2"/>
        <v>631439</v>
      </c>
      <c r="F9" s="151">
        <f t="shared" si="2"/>
        <v>369577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179487</v>
      </c>
      <c r="D10" s="199">
        <f>IF(Inputs!D27="","",Inputs!D27)</f>
        <v>203486</v>
      </c>
      <c r="E10" s="199">
        <f>IF(Inputs!E27="","",Inputs!E27)</f>
        <v>191402</v>
      </c>
      <c r="F10" s="199">
        <f>IF(Inputs!F27="","",Inputs!F27)</f>
        <v>142033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0.47435649235427868</v>
      </c>
      <c r="D13" s="229">
        <f t="shared" si="3"/>
        <v>0.47602996340504905</v>
      </c>
      <c r="E13" s="229">
        <f t="shared" si="3"/>
        <v>0.4223007891562276</v>
      </c>
      <c r="F13" s="229">
        <f t="shared" si="3"/>
        <v>0.32390927738781738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710568</v>
      </c>
      <c r="D14" s="230">
        <f t="shared" ref="D14:M14" si="4">IF(D6="","",D9-D10-MAX(D11,0)-MAX(D12,0))</f>
        <v>623217</v>
      </c>
      <c r="E14" s="230">
        <f t="shared" si="4"/>
        <v>440037</v>
      </c>
      <c r="F14" s="230">
        <f t="shared" si="4"/>
        <v>227544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0.14016145259195434</v>
      </c>
      <c r="D15" s="232">
        <f t="shared" ref="D15:M15" si="5">IF(E14="","",IF(ABS(D14+E14)=ABS(D14)+ABS(E14),IF(D14&lt;0,-1,1)*(D14-E14)/E14,"Turn"))</f>
        <v>0.41628317618745697</v>
      </c>
      <c r="E15" s="232">
        <f t="shared" si="5"/>
        <v>0.93385455120767846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124545</v>
      </c>
      <c r="D17" s="199">
        <f>IF(Inputs!D29="","",Inputs!D29)</f>
        <v>135797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586023</v>
      </c>
      <c r="D22" s="161">
        <f t="shared" ref="D22:M22" si="8">IF(D6="","",D14-MAX(D16,0)-MAX(D17,0)-ABS(MAX(D21,0)-MAX(D19,0)))</f>
        <v>487420</v>
      </c>
      <c r="E22" s="161">
        <f t="shared" si="8"/>
        <v>440037</v>
      </c>
      <c r="F22" s="161">
        <f t="shared" si="8"/>
        <v>227544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0.29341014658582792</v>
      </c>
      <c r="D23" s="153">
        <f t="shared" si="9"/>
        <v>0.27922841253073449</v>
      </c>
      <c r="E23" s="153">
        <f t="shared" si="9"/>
        <v>0.3167255918671707</v>
      </c>
      <c r="F23" s="153">
        <f t="shared" si="9"/>
        <v>0.24293195804086304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439517.25</v>
      </c>
      <c r="D24" s="77">
        <f>IF(D6="","",D22*(1-Fin_Analysis!$I$84))</f>
        <v>365565</v>
      </c>
      <c r="E24" s="77">
        <f>IF(E6="","",E22*(1-Fin_Analysis!$I$84))</f>
        <v>330027.75</v>
      </c>
      <c r="F24" s="77">
        <f>IF(F6="","",F22*(1-Fin_Analysis!$I$84))</f>
        <v>170658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0.20229576135570965</v>
      </c>
      <c r="D25" s="233">
        <f t="shared" ref="D25:M25" si="10">IF(E24="","",IF(ABS(D24+E24)=ABS(D24)+ABS(E24),IF(D24&lt;0,-1,1)*(D24-E24)/E24,"Turn"))</f>
        <v>0.10767958148973836</v>
      </c>
      <c r="E25" s="233">
        <f t="shared" si="10"/>
        <v>0.93385455120767846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44804</v>
      </c>
      <c r="E26" s="49">
        <f t="shared" ref="E26" si="11">EOMONTH(EDATE(D26,-12),0)</f>
        <v>44439</v>
      </c>
      <c r="F26" s="49">
        <f t="shared" ref="F26" si="12">EOMONTH(EDATE(E26,-12),0)</f>
        <v>44074</v>
      </c>
      <c r="G26" s="49">
        <f t="shared" ref="G26" si="13">EOMONTH(EDATE(F26,-12),0)</f>
        <v>43708</v>
      </c>
      <c r="H26" s="49">
        <f t="shared" ref="H26" si="14">EOMONTH(EDATE(G26,-12),0)</f>
        <v>43343</v>
      </c>
      <c r="I26" s="49">
        <f t="shared" ref="I26" si="15">EOMONTH(EDATE(H26,-12),0)</f>
        <v>42978</v>
      </c>
      <c r="J26" s="49">
        <f t="shared" ref="J26" si="16">EOMONTH(EDATE(I26,-12),0)</f>
        <v>42613</v>
      </c>
      <c r="K26" s="49">
        <f t="shared" ref="K26" si="17">EOMONTH(EDATE(J26,-12),0)</f>
        <v>42247</v>
      </c>
      <c r="L26" s="49">
        <f t="shared" ref="L26" si="18">EOMONTH(EDATE(K26,-12),0)</f>
        <v>41882</v>
      </c>
      <c r="M26" s="49">
        <f t="shared" ref="M26" si="19">EOMONTH(EDATE(L26,-12),0)</f>
        <v>41517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6620103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1401555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1018636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2476486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546386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1333523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545657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1879180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3597231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382919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6237184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>
        <f>IF(C6="","",C14/MAX(C39,0))</f>
        <v>0.11392448900016418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0.40582271112351315</v>
      </c>
      <c r="D42" s="156">
        <f t="shared" si="34"/>
        <v>0.36854193830263893</v>
      </c>
      <c r="E42" s="156">
        <f t="shared" si="34"/>
        <v>0.39401189444519619</v>
      </c>
      <c r="F42" s="156">
        <f t="shared" si="34"/>
        <v>0.47390650155944614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0.11982079652220817</v>
      </c>
      <c r="D43" s="153">
        <f t="shared" si="35"/>
        <v>0.15542809829231199</v>
      </c>
      <c r="E43" s="153">
        <f t="shared" si="35"/>
        <v>0.18368731639857619</v>
      </c>
      <c r="F43" s="153">
        <f t="shared" si="35"/>
        <v>0.20218422105273648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8.3142963573174758E-2</v>
      </c>
      <c r="D45" s="153">
        <f t="shared" si="37"/>
        <v>0.10372541336406974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0.39121352878110394</v>
      </c>
      <c r="D48" s="153">
        <f t="shared" si="40"/>
        <v>0.37230455004097934</v>
      </c>
      <c r="E48" s="153">
        <f t="shared" si="40"/>
        <v>0.4223007891562276</v>
      </c>
      <c r="F48" s="153">
        <f t="shared" si="40"/>
        <v>0.32390927738781738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257</v>
      </c>
      <c r="C50" s="272">
        <f>IF(C6="","",C6/C27)</f>
        <v>0.22627472714548399</v>
      </c>
      <c r="D50" s="272" t="e">
        <f t="shared" ref="D50:M50" si="41">IF(D6="","",D6/D27)</f>
        <v>#VALUE!</v>
      </c>
      <c r="E50" s="272" t="e">
        <f t="shared" si="41"/>
        <v>#VALUE!</v>
      </c>
      <c r="F50" s="272" t="e">
        <f t="shared" si="41"/>
        <v>#VALUE!</v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258</v>
      </c>
      <c r="C51" s="153">
        <f t="shared" ref="C51:M51" si="42">IF(C29="","",C29/C6)</f>
        <v>0.68001457980910063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259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248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e">
        <f t="shared" si="44"/>
        <v>#VALUE!</v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253</v>
      </c>
      <c r="C55" s="156">
        <f>IF(C36="","",(C36-C37)/C27)</f>
        <v>0.54337991417958298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0.3118503815493992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0.21252578823698046</v>
      </c>
      <c r="D57" s="153">
        <f t="shared" si="47"/>
        <v>0.27860366829428418</v>
      </c>
      <c r="E57" s="153" t="str">
        <f t="shared" si="47"/>
        <v>-</v>
      </c>
      <c r="F57" s="153" t="str">
        <f t="shared" si="47"/>
        <v>-</v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0.5659450527885076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255</v>
      </c>
      <c r="C60" s="274">
        <f>IF(C14="","",C14/(C36-C37))</f>
        <v>0.19753193497998878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256</v>
      </c>
      <c r="C61" s="274">
        <f>IF(C22="","",C22/(C36-C37))</f>
        <v>0.16290947120159924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3597231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3597231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0.5659450527885076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-1358229.8</v>
      </c>
      <c r="E6" s="56">
        <f>1-D6/D3</f>
        <v>1.3775764747940846</v>
      </c>
      <c r="F6" s="87"/>
      <c r="G6" s="87"/>
      <c r="H6" s="1" t="s">
        <v>26</v>
      </c>
      <c r="I6" s="63">
        <f>(C24+C25)/I28</f>
        <v>0.5659450527885076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0.5659450527885076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382919</v>
      </c>
      <c r="D11" s="198">
        <f>Inputs!D48</f>
        <v>0.9</v>
      </c>
      <c r="E11" s="88">
        <f t="shared" ref="E11:E22" si="0">C11*D11</f>
        <v>344627.10000000003</v>
      </c>
      <c r="F11" s="112"/>
      <c r="G11" s="87"/>
      <c r="H11" s="3" t="s">
        <v>35</v>
      </c>
      <c r="I11" s="40">
        <f>Inputs!C73</f>
        <v>1333523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1018636</v>
      </c>
      <c r="D13" s="198">
        <f>Inputs!D50</f>
        <v>0.6</v>
      </c>
      <c r="E13" s="88">
        <f t="shared" si="0"/>
        <v>611181.6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1333523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1142963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1401555</v>
      </c>
      <c r="D24" s="62">
        <f>IF(E24=0,0,E24/C24)</f>
        <v>0.68196303391590052</v>
      </c>
      <c r="E24" s="88">
        <f>SUM(E11:E14)</f>
        <v>955808.7</v>
      </c>
      <c r="F24" s="113">
        <f>E24/$E$28</f>
        <v>1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52</v>
      </c>
      <c r="I25" s="63">
        <f>E28/I28</f>
        <v>0.38595360522934513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54</v>
      </c>
      <c r="I26" s="63">
        <f>E24/($I$28-I22)</f>
        <v>0.71675456666289217</v>
      </c>
      <c r="J26" s="8" t="str">
        <f>IF(I26&lt;1,"Liquidity Problem!","")</f>
        <v>Liquidity Problem!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0.38595360522934513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1401555</v>
      </c>
      <c r="D28" s="57">
        <f>E28/C28</f>
        <v>0.68196303391590052</v>
      </c>
      <c r="E28" s="70">
        <f>SUM(E24:E27)</f>
        <v>955808.7</v>
      </c>
      <c r="F28" s="112"/>
      <c r="G28" s="87"/>
      <c r="H28" s="78" t="s">
        <v>15</v>
      </c>
      <c r="I28" s="206">
        <f>Inputs!C77</f>
        <v>2476486</v>
      </c>
      <c r="J28" s="32">
        <f>IF(J26="",1,0)+IF(J27="",1,0)+IF(J46="",1,0)+IF(J47="",1,0)</f>
        <v>0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545657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800111</v>
      </c>
      <c r="D34" s="198">
        <f>Inputs!D64</f>
        <v>0.4</v>
      </c>
      <c r="E34" s="88">
        <f t="shared" si="1"/>
        <v>320044.40000000002</v>
      </c>
      <c r="F34" s="112"/>
      <c r="G34" s="87"/>
      <c r="H34" s="1" t="s">
        <v>74</v>
      </c>
      <c r="I34" s="84">
        <f>SUM(I30:I33)</f>
        <v>545657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3793891</v>
      </c>
      <c r="D38" s="198">
        <f>Inputs!D68</f>
        <v>0.1</v>
      </c>
      <c r="E38" s="88">
        <f t="shared" si="1"/>
        <v>379389.10000000003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188000</v>
      </c>
      <c r="D39" s="198">
        <f>Inputs!D69</f>
        <v>0.05</v>
      </c>
      <c r="E39" s="88">
        <f t="shared" si="1"/>
        <v>9400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436546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729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800111</v>
      </c>
      <c r="D45" s="62">
        <f>IF(E45=0,0,E45/C45)</f>
        <v>0.4</v>
      </c>
      <c r="E45" s="88">
        <f>SUM(E32:E35)</f>
        <v>320044.40000000002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3981891</v>
      </c>
      <c r="D46" s="62">
        <f>IF(E46=0,0,E46/C46)</f>
        <v>9.7639312577868162E-2</v>
      </c>
      <c r="E46" s="88">
        <f>E36+E37+E38+E39</f>
        <v>388789.10000000003</v>
      </c>
      <c r="F46" s="87"/>
      <c r="G46" s="87"/>
      <c r="H46" s="23" t="s">
        <v>77</v>
      </c>
      <c r="I46" s="63">
        <f>(E44+E24)/E64</f>
        <v>0.50863073255356062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436546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>
        <f>(E44+E45+E24+E25)/$I$49</f>
        <v>0.42206653143103645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81">
        <f>SUM(C30:C42)</f>
        <v>5218548</v>
      </c>
      <c r="D48" s="82">
        <f>E48/C48</f>
        <v>0.13582964073531564</v>
      </c>
      <c r="E48" s="76">
        <f>SUM(E30:E42)</f>
        <v>708833.5</v>
      </c>
      <c r="F48" s="87"/>
      <c r="G48" s="87"/>
      <c r="H48" s="80" t="s">
        <v>81</v>
      </c>
      <c r="I48" s="207">
        <f>Inputs!C82</f>
        <v>546386</v>
      </c>
      <c r="J48" s="8"/>
    </row>
    <row r="49" spans="2:11" ht="15" customHeight="1" thickTop="1" x14ac:dyDescent="0.4">
      <c r="B49" s="3" t="s">
        <v>13</v>
      </c>
      <c r="C49" s="61">
        <f>C28+C48</f>
        <v>6620103</v>
      </c>
      <c r="D49" s="56">
        <f>E49/C49</f>
        <v>0.25145261335057778</v>
      </c>
      <c r="E49" s="88">
        <f>E28+E48</f>
        <v>1664642.2</v>
      </c>
      <c r="F49" s="87"/>
      <c r="G49" s="87"/>
      <c r="H49" s="3" t="s">
        <v>82</v>
      </c>
      <c r="I49" s="52">
        <f>I28+I48</f>
        <v>3022872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1879180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382919</v>
      </c>
      <c r="D62" s="107">
        <f t="shared" si="2"/>
        <v>0.90000000000000013</v>
      </c>
      <c r="E62" s="118">
        <f>E11+E30</f>
        <v>344627.10000000003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382919</v>
      </c>
      <c r="D63" s="29">
        <f t="shared" si="2"/>
        <v>0.90000000000000013</v>
      </c>
      <c r="E63" s="61">
        <f>E61+E62</f>
        <v>344627.10000000003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1879180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-1496261</v>
      </c>
      <c r="D65" s="29">
        <f t="shared" si="2"/>
        <v>1.0255917249731163</v>
      </c>
      <c r="E65" s="61">
        <f>E63-E64</f>
        <v>-1534552.9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6237184</v>
      </c>
      <c r="D68" s="29">
        <f t="shared" si="2"/>
        <v>0.21163638911406171</v>
      </c>
      <c r="E68" s="68">
        <f>E49-E63</f>
        <v>1320015.0999999999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1143692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5093492</v>
      </c>
      <c r="D70" s="29">
        <f t="shared" si="2"/>
        <v>3.4617331292559186E-2</v>
      </c>
      <c r="E70" s="68">
        <f>E68-E69</f>
        <v>176323.09999999986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45169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1497962</v>
      </c>
      <c r="D74" s="209"/>
      <c r="E74" s="238">
        <f>Inputs!E91</f>
        <v>1497962</v>
      </c>
      <c r="F74" s="209"/>
      <c r="H74" s="238">
        <f>Inputs!F91</f>
        <v>1497962</v>
      </c>
      <c r="I74" s="209"/>
      <c r="K74" s="24"/>
    </row>
    <row r="75" spans="1:11" ht="15" customHeight="1" x14ac:dyDescent="0.4">
      <c r="B75" s="104" t="s">
        <v>102</v>
      </c>
      <c r="C75" s="77">
        <f>Data!C8</f>
        <v>607907</v>
      </c>
      <c r="D75" s="159">
        <f>C75/$C$74</f>
        <v>0.40582271112351315</v>
      </c>
      <c r="E75" s="238">
        <f>Inputs!E92</f>
        <v>607907</v>
      </c>
      <c r="F75" s="160">
        <f>E75/E74</f>
        <v>0.40582271112351315</v>
      </c>
      <c r="H75" s="238">
        <f>Inputs!F92</f>
        <v>607907</v>
      </c>
      <c r="I75" s="160">
        <f>H75/$H$74</f>
        <v>0.40582271112351315</v>
      </c>
      <c r="K75" s="24"/>
    </row>
    <row r="76" spans="1:11" ht="15" customHeight="1" x14ac:dyDescent="0.4">
      <c r="B76" s="35" t="s">
        <v>92</v>
      </c>
      <c r="C76" s="161">
        <f>C74-C75</f>
        <v>890055</v>
      </c>
      <c r="D76" s="210"/>
      <c r="E76" s="162">
        <f>E74-E75</f>
        <v>890055</v>
      </c>
      <c r="F76" s="210"/>
      <c r="H76" s="162">
        <f>H74-H75</f>
        <v>890055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179487</v>
      </c>
      <c r="D77" s="159">
        <f>C77/$C$74</f>
        <v>0.11982079652220817</v>
      </c>
      <c r="E77" s="238">
        <f>Inputs!E93</f>
        <v>179487</v>
      </c>
      <c r="F77" s="160">
        <f>E77/E74</f>
        <v>0.11982079652220817</v>
      </c>
      <c r="H77" s="238">
        <f>Inputs!F93</f>
        <v>179487</v>
      </c>
      <c r="I77" s="160">
        <f>H77/$H$74</f>
        <v>0.11982079652220817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219</v>
      </c>
      <c r="C79" s="257">
        <f>C76-C77-C78</f>
        <v>710568</v>
      </c>
      <c r="D79" s="258">
        <f>C79/C74</f>
        <v>0.47435649235427868</v>
      </c>
      <c r="E79" s="259">
        <f>E76-E77-E78</f>
        <v>710568</v>
      </c>
      <c r="F79" s="258">
        <f>E79/E74</f>
        <v>0.47435649235427868</v>
      </c>
      <c r="G79" s="260"/>
      <c r="H79" s="259">
        <f>H76-H77-H78</f>
        <v>710568</v>
      </c>
      <c r="I79" s="258">
        <f>H79/H74</f>
        <v>0.47435649235427868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124545</v>
      </c>
      <c r="D81" s="159">
        <f>C81/$C$74</f>
        <v>8.3142963573174758E-2</v>
      </c>
      <c r="E81" s="180">
        <f>E74*F81</f>
        <v>124545</v>
      </c>
      <c r="F81" s="160">
        <f>I81</f>
        <v>8.3142963573174758E-2</v>
      </c>
      <c r="H81" s="238">
        <f>Inputs!F94</f>
        <v>124545</v>
      </c>
      <c r="I81" s="160">
        <f>H81/$H$74</f>
        <v>8.3142963573174758E-2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586023</v>
      </c>
      <c r="D83" s="164">
        <f>C83/$C$74</f>
        <v>0.39121352878110394</v>
      </c>
      <c r="E83" s="165">
        <f>E79-E81-E82-E80</f>
        <v>586023</v>
      </c>
      <c r="F83" s="164">
        <f>E83/E74</f>
        <v>0.39121352878110394</v>
      </c>
      <c r="H83" s="165">
        <f>H79-H81-H82-H80</f>
        <v>586023</v>
      </c>
      <c r="I83" s="164">
        <f>H83/$H$74</f>
        <v>0.39121352878110394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439517.25</v>
      </c>
      <c r="D85" s="258">
        <f>C85/$C$74</f>
        <v>0.29341014658582792</v>
      </c>
      <c r="E85" s="264">
        <f>E83*(1-F84)</f>
        <v>439517.25</v>
      </c>
      <c r="F85" s="258">
        <f>E85/E74</f>
        <v>0.29341014658582792</v>
      </c>
      <c r="G85" s="260"/>
      <c r="H85" s="264">
        <f>H83*(1-I84)</f>
        <v>439517.25</v>
      </c>
      <c r="I85" s="258">
        <f>H85/$H$74</f>
        <v>0.29341014658582792</v>
      </c>
      <c r="K85" s="24"/>
    </row>
    <row r="86" spans="1:11" ht="15" customHeight="1" x14ac:dyDescent="0.4">
      <c r="B86" s="87" t="s">
        <v>153</v>
      </c>
      <c r="C86" s="167">
        <f>C85*Data!C4/Common_Shares</f>
        <v>0.36626437499999998</v>
      </c>
      <c r="D86" s="209"/>
      <c r="E86" s="168">
        <f>E85*Data!C4/Common_Shares</f>
        <v>0.36626437499999998</v>
      </c>
      <c r="F86" s="209"/>
      <c r="H86" s="168">
        <f>H85*Data!C4/Common_Shares</f>
        <v>0.36626437499999998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8.9609862036167623E-2</v>
      </c>
      <c r="D87" s="209"/>
      <c r="E87" s="262">
        <f>E86*Exchange_Rate/Dashboard!G3</f>
        <v>8.9609862036167623E-2</v>
      </c>
      <c r="F87" s="209"/>
      <c r="H87" s="262">
        <f>H86*Exchange_Rate/Dashboard!G3</f>
        <v>8.9609862036167623E-2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0.18309999999999998</v>
      </c>
      <c r="D88" s="166">
        <f>C88/C86</f>
        <v>0.49991211949019065</v>
      </c>
      <c r="E88" s="170">
        <f>Inputs!E98</f>
        <v>0.18309999999999998</v>
      </c>
      <c r="F88" s="166">
        <f>E88/E86</f>
        <v>0.49991211949019065</v>
      </c>
      <c r="H88" s="170">
        <f>Inputs!F98</f>
        <v>0.18309999999999998</v>
      </c>
      <c r="I88" s="166">
        <f>H88/H86</f>
        <v>0.49991211949019065</v>
      </c>
      <c r="K88" s="24"/>
    </row>
    <row r="89" spans="1:11" ht="15" customHeight="1" x14ac:dyDescent="0.4">
      <c r="B89" s="87" t="s">
        <v>208</v>
      </c>
      <c r="C89" s="261">
        <f>C88*Exchange_Rate/Dashboard!G3</f>
        <v>4.4797056057724126E-2</v>
      </c>
      <c r="D89" s="209"/>
      <c r="E89" s="261">
        <f>E88*Exchange_Rate/Dashboard!G3</f>
        <v>4.4797056057724126E-2</v>
      </c>
      <c r="F89" s="209"/>
      <c r="H89" s="261">
        <f>H88*Exchange_Rate/Dashboard!G3</f>
        <v>4.4797056057724126E-2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9.0783409639636492</v>
      </c>
      <c r="H93" s="87" t="s">
        <v>196</v>
      </c>
      <c r="I93" s="144">
        <f>FV(H87,D93,0,-(H86/(C93-D94)))*Exchange_Rate</f>
        <v>9.0783409639636492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3.6787877334113213</v>
      </c>
      <c r="H94" s="87" t="s">
        <v>197</v>
      </c>
      <c r="I94" s="144">
        <f>FV(H89,D93,0,-(H88/(C93-D94)))*Exchange_Rate</f>
        <v>3.6787877334113213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5416247.9068658119</v>
      </c>
      <c r="D97" s="213"/>
      <c r="E97" s="123">
        <f>PV(C94,D93,0,-F93)</f>
        <v>4.5135399223881771</v>
      </c>
      <c r="F97" s="213"/>
      <c r="H97" s="123">
        <f>PV(C94,D93,0,-I93)</f>
        <v>4.5135399223881771</v>
      </c>
      <c r="I97" s="123">
        <f>PV(C93,D93,0,-I93)</f>
        <v>6.0028507099010202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-1640682.0670931975</v>
      </c>
      <c r="D99" s="214"/>
      <c r="E99" s="145">
        <f>IF(H99&gt;0,H99*(1-C94),H99*(1+C94))</f>
        <v>-1.5723203142976476</v>
      </c>
      <c r="F99" s="214"/>
      <c r="H99" s="145">
        <f>C99*Data!$C$4/Common_Shares</f>
        <v>-1.367235055910998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3775565.8397726147</v>
      </c>
      <c r="D100" s="109">
        <f>MIN(F100*(1-C94),E100)</f>
        <v>2.5871979016912756</v>
      </c>
      <c r="E100" s="109">
        <f>MAX(E97+H98+E99,0)</f>
        <v>2.9412196080905293</v>
      </c>
      <c r="F100" s="109">
        <f>(E100+H100)/2</f>
        <v>3.043762237283854</v>
      </c>
      <c r="H100" s="109">
        <f>MAX(C100*Data!$C$4/Common_Shares,0)</f>
        <v>3.1463048664771787</v>
      </c>
      <c r="I100" s="109">
        <f>MAX(I97+H98+H99,0)</f>
        <v>4.6356156539900226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2194809.2101834035</v>
      </c>
      <c r="D103" s="109">
        <f>MIN(F103*(1-C94),E103)</f>
        <v>1.5546565238799108</v>
      </c>
      <c r="E103" s="123">
        <f>PV(C94,D93,0,-F94)</f>
        <v>1.8290076751528364</v>
      </c>
      <c r="F103" s="109">
        <f>(E103+H103)/2</f>
        <v>1.8290076751528364</v>
      </c>
      <c r="H103" s="123">
        <f>PV(C94,D93,0,-I94)</f>
        <v>1.8290076751528364</v>
      </c>
      <c r="I103" s="109">
        <f>PV(C93,D93,0,-I94)</f>
        <v>2.4325164305617437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2862136.3699460197</v>
      </c>
      <c r="D106" s="109">
        <f>(D100+D103)/2</f>
        <v>2.0709272127855933</v>
      </c>
      <c r="E106" s="123">
        <f>(E100+E103)/2</f>
        <v>2.3851136416216829</v>
      </c>
      <c r="F106" s="109">
        <f>(F100+F103)/2</f>
        <v>2.4363849562183453</v>
      </c>
      <c r="H106" s="123">
        <f>(H100+H103)/2</f>
        <v>2.4876562708150076</v>
      </c>
      <c r="I106" s="123">
        <f>(I100+I103)/2</f>
        <v>3.5340660422758834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