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9184612-4F7C-42A2-B3FA-EB9A60E6717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B7" i="3"/>
  <c r="M53" i="2"/>
  <c r="F96" i="4" l="1"/>
  <c r="F97" i="4"/>
  <c r="E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K53" i="2"/>
  <c r="L50" i="2"/>
  <c r="J53" i="2"/>
  <c r="K50" i="2"/>
  <c r="I53" i="2"/>
  <c r="J50" i="2"/>
  <c r="D53" i="2"/>
  <c r="E50" i="2"/>
  <c r="C53" i="2"/>
  <c r="H53" i="2"/>
  <c r="I50" i="2"/>
  <c r="G53" i="2"/>
  <c r="H50" i="2"/>
  <c r="E53" i="2"/>
  <c r="F50" i="2"/>
  <c r="F53" i="2"/>
  <c r="G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K15" i="2"/>
  <c r="L60" i="2"/>
  <c r="L15" i="2"/>
  <c r="M60" i="2"/>
  <c r="E22" i="2"/>
  <c r="E61" i="2" s="1"/>
  <c r="E60" i="2"/>
  <c r="F22" i="2"/>
  <c r="F61" i="2" s="1"/>
  <c r="F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<sst xmlns="http://schemas.openxmlformats.org/spreadsheetml/2006/main" count="394" uniqueCount="273">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</sst>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262</v>
      </c>
    </row>
    <row r="5" spans="1:5" ht="13.9" x14ac:dyDescent="0.4">
      <c r="B5" s="141" t="s">
        <v>182</v>
      </c>
      <c r="C5" s="191" t="s">
        <v>263</v>
      </c>
    </row>
    <row r="6" spans="1:5" ht="13.9" x14ac:dyDescent="0.4">
      <c r="B6" s="141" t="s">
        <v>156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264</v>
      </c>
      <c r="E8" s="267"/>
    </row>
    <row r="9" spans="1:5" ht="13.9" x14ac:dyDescent="0.4">
      <c r="B9" s="140" t="s">
        <v>203</v>
      </c>
      <c r="C9" s="192" t="s">
        <v>265</v>
      </c>
    </row>
    <row r="10" spans="1:5" ht="13.9" x14ac:dyDescent="0.4">
      <c r="B10" s="140" t="s">
        <v>204</v>
      </c>
      <c r="C10" s="193">
        <v>2454657755</v>
      </c>
    </row>
    <row r="11" spans="1:5" ht="13.9" x14ac:dyDescent="0.4">
      <c r="B11" s="140" t="s">
        <v>205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177</v>
      </c>
    </row>
    <row r="16" spans="1:5" ht="13.9" x14ac:dyDescent="0.4">
      <c r="B16" s="222" t="s">
        <v>93</v>
      </c>
      <c r="C16" s="223">
        <v>0.23499999999999999</v>
      </c>
      <c r="D16" s="24" t="s">
        <v>267</v>
      </c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269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245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2.3959579134697664E-2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102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231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239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2888.HK</v>
      </c>
      <c r="D3" s="290"/>
      <c r="E3" s="87"/>
      <c r="F3" s="3" t="s">
        <v>1</v>
      </c>
      <c r="G3" s="132">
        <v>97.35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Standard Chartered</v>
      </c>
      <c r="D4" s="292"/>
      <c r="E4" s="87"/>
      <c r="F4" s="3" t="s">
        <v>2</v>
      </c>
      <c r="G4" s="295">
        <f>Inputs!C10</f>
        <v>2454657755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45606</v>
      </c>
      <c r="D5" s="294"/>
      <c r="E5" s="34"/>
      <c r="F5" s="35" t="s">
        <v>96</v>
      </c>
      <c r="G5" s="287">
        <f>G3*G4/1000000</f>
        <v>238960.93244924999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261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251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249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256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257</v>
      </c>
      <c r="C23" s="282">
        <f>Data!C13</f>
        <v>0.6637940039694975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258</v>
      </c>
      <c r="C24" s="171">
        <f>Fin_Analysis!I81</f>
        <v>0.50814791601378884</v>
      </c>
      <c r="F24" s="140" t="s">
        <v>241</v>
      </c>
      <c r="G24" s="268">
        <f>G3/(Fin_Analysis!H86*G7)</f>
        <v>6.7410154591293185</v>
      </c>
    </row>
    <row r="25" spans="1:8" ht="15.75" customHeight="1" x14ac:dyDescent="0.4">
      <c r="B25" s="137" t="s">
        <v>259</v>
      </c>
      <c r="C25" s="171">
        <f>Fin_Analysis!I80</f>
        <v>0</v>
      </c>
      <c r="F25" s="140" t="s">
        <v>163</v>
      </c>
      <c r="G25" s="171">
        <f>Fin_Analysis!I88</f>
        <v>0.1615118933412292</v>
      </c>
    </row>
    <row r="26" spans="1:8" ht="15.75" customHeight="1" x14ac:dyDescent="0.4">
      <c r="B26" s="138" t="s">
        <v>260</v>
      </c>
      <c r="C26" s="171">
        <f>Fin_Analysis!I80+Fin_Analysis!I82</f>
        <v>0</v>
      </c>
      <c r="F26" s="141" t="s">
        <v>180</v>
      </c>
      <c r="G26" s="178">
        <f>Fin_Analysis!H88*Exchange_Rate/G3</f>
        <v>2.3959579134697664E-2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18.302363612039247</v>
      </c>
      <c r="D29" s="129">
        <f>G29*(1+G20)</f>
        <v>33.798719160342138</v>
      </c>
      <c r="E29" s="87"/>
      <c r="F29" s="131">
        <f>IF(Fin_Analysis!C108="Profit",Fin_Analysis!F100,IF(Fin_Analysis!C108="Dividend",Fin_Analysis!F103,Fin_Analysis!F106))</f>
        <v>21.532192484752056</v>
      </c>
      <c r="G29" s="286">
        <f>IF(Fin_Analysis!C108="Profit",Fin_Analysis!I100,IF(Fin_Analysis!C108="Dividend",Fin_Analysis!I103,Fin_Analysis!I106))</f>
        <v>29.390190574210557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247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253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254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255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244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248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249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3.2647651006711409</v>
      </c>
      <c r="D57" s="153">
        <f t="shared" si="47"/>
        <v>1.6762967826657913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250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251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252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102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92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157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153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0.14834560253762752</v>
      </c>
      <c r="D87" s="209"/>
      <c r="E87" s="262">
        <f>E86*Exchange_Rate/Dashboard!G3</f>
        <v>0.14834560253762744</v>
      </c>
      <c r="F87" s="209"/>
      <c r="H87" s="262">
        <f>H86*Exchange_Rate/Dashboard!G3</f>
        <v>0.14834560253762744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208</v>
      </c>
      <c r="C89" s="261">
        <f>C88*Exchange_Rate/Dashboard!G3</f>
        <v>2.3959579134697664E-2</v>
      </c>
      <c r="D89" s="209"/>
      <c r="E89" s="261">
        <f>E88*Exchange_Rate/Dashboard!G3</f>
        <v>2.3959579134697664E-2</v>
      </c>
      <c r="F89" s="209"/>
      <c r="H89" s="261">
        <f>H88*Exchange_Rate/Dashboard!G3</f>
        <v>2.3959579134697664E-2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475.68771921533425</v>
      </c>
      <c r="H93" s="87" t="s">
        <v>196</v>
      </c>
      <c r="I93" s="144">
        <f>FV(H87,D93,0,-(H86/(C93-D94)))*Exchange_Rate</f>
        <v>475.68771921533425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43.30893011683952</v>
      </c>
      <c r="H94" s="87" t="s">
        <v>197</v>
      </c>
      <c r="I94" s="144">
        <f>FV(H89,D93,0,-(H88/(C93-D94)))*Exchange_Rate</f>
        <v>43.30893011683952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580528.68788636441</v>
      </c>
      <c r="D97" s="213"/>
      <c r="E97" s="123">
        <f>PV(C94,D93,0,-F93)</f>
        <v>236.50086726096947</v>
      </c>
      <c r="F97" s="213"/>
      <c r="H97" s="123">
        <f>PV(C94,D93,0,-I93)</f>
        <v>236.50086726096947</v>
      </c>
      <c r="I97" s="123">
        <f>PV(C93,D93,0,-I93)</f>
        <v>322.80993051163534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580528.68788636441</v>
      </c>
      <c r="D100" s="109">
        <f>MIN(F100*(1-C94),E100)</f>
        <v>201.02573717182403</v>
      </c>
      <c r="E100" s="109">
        <f>MAX(E97+H98+E99,0)</f>
        <v>236.50086726096947</v>
      </c>
      <c r="F100" s="109">
        <f>(E100+H100)/2</f>
        <v>236.50086726096947</v>
      </c>
      <c r="H100" s="109">
        <f>MAX(C100*Data!$C$4/Common_Shares,0)</f>
        <v>236.5008672609695</v>
      </c>
      <c r="I100" s="109">
        <f>MAX(I97+H98+H99,0)</f>
        <v>322.80993051163534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52854.163264849347</v>
      </c>
      <c r="D103" s="109">
        <f>MIN(F103*(1-C94),E103)</f>
        <v>18.302363612039247</v>
      </c>
      <c r="E103" s="123">
        <f>PV(C94,D93,0,-F94)</f>
        <v>21.532192484752056</v>
      </c>
      <c r="F103" s="109">
        <f>(E103+H103)/2</f>
        <v>21.532192484752056</v>
      </c>
      <c r="H103" s="123">
        <f>PV(C94,D93,0,-I94)</f>
        <v>21.532192484752056</v>
      </c>
      <c r="I103" s="109">
        <f>PV(C93,D93,0,-I94)</f>
        <v>29.390190574210557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316691.42557560682</v>
      </c>
      <c r="D106" s="109">
        <f>(D100+D103)/2</f>
        <v>109.66405039193164</v>
      </c>
      <c r="E106" s="123">
        <f>(E100+E103)/2</f>
        <v>129.01652987286076</v>
      </c>
      <c r="F106" s="109">
        <f>(F100+F103)/2</f>
        <v>129.01652987286076</v>
      </c>
      <c r="H106" s="123">
        <f>(H100+H103)/2</f>
        <v>129.01652987286079</v>
      </c>
      <c r="I106" s="123">
        <f>(I100+I103)/2</f>
        <v>176.10006054292296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