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66294F7-86E0-40B1-B7CF-45D2552A2A7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E93" i="4" l="1"/>
  <c r="F93" i="4"/>
  <c r="F96" i="4"/>
  <c r="E95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I53" i="2"/>
  <c r="J50" i="2"/>
  <c r="G53" i="2"/>
  <c r="H50" i="2"/>
  <c r="J53" i="2"/>
  <c r="K50" i="2"/>
  <c r="H53" i="2"/>
  <c r="I50" i="2"/>
  <c r="E53" i="2"/>
  <c r="F50" i="2"/>
  <c r="F53" i="2"/>
  <c r="G50" i="2"/>
  <c r="D53" i="2"/>
  <c r="E50" i="2"/>
  <c r="K53" i="2"/>
  <c r="L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E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<sst xmlns="http://schemas.openxmlformats.org/spreadsheetml/2006/main" count="393" uniqueCount="273">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</sst>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263</v>
      </c>
    </row>
    <row r="5" spans="1:5" ht="13.9" x14ac:dyDescent="0.4">
      <c r="B5" s="141" t="s">
        <v>182</v>
      </c>
      <c r="C5" s="191" t="s">
        <v>264</v>
      </c>
    </row>
    <row r="6" spans="1:5" ht="13.9" x14ac:dyDescent="0.4">
      <c r="B6" s="141" t="s">
        <v>156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265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74262726645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269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0.10008772005887927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102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231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239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194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3328.HK</v>
      </c>
      <c r="D3" s="290"/>
      <c r="E3" s="87"/>
      <c r="F3" s="3" t="s">
        <v>1</v>
      </c>
      <c r="G3" s="132">
        <v>5.95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交通银行</v>
      </c>
      <c r="D4" s="292"/>
      <c r="E4" s="87"/>
      <c r="F4" s="3" t="s">
        <v>2</v>
      </c>
      <c r="G4" s="295">
        <f>Inputs!C10</f>
        <v>74262726645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45606</v>
      </c>
      <c r="D5" s="294"/>
      <c r="E5" s="34"/>
      <c r="F5" s="35" t="s">
        <v>96</v>
      </c>
      <c r="G5" s="287">
        <f>G3*G4/1000000</f>
        <v>441863.22353775002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0.79253096756336339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0.583299310268654</v>
      </c>
      <c r="F24" s="140" t="s">
        <v>241</v>
      </c>
      <c r="G24" s="268">
        <f>G3/(Fin_Analysis!H86*G7)</f>
        <v>5.1944666526487451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0.35002400640854436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6.7384012606965388E-2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240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3.543407858728397</v>
      </c>
      <c r="D29" s="129">
        <f>G29*(1+G20)</f>
        <v>6.3758826208642789</v>
      </c>
      <c r="E29" s="87"/>
      <c r="F29" s="131">
        <f>IF(Fin_Analysis!C108="Profit",Fin_Analysis!F100,IF(Fin_Analysis!C108="Dividend",Fin_Analysis!F103,Fin_Analysis!F106))</f>
        <v>4.1687151279157613</v>
      </c>
      <c r="G29" s="286">
        <f>IF(Fin_Analysis!C108="Profit",Fin_Analysis!I100,IF(Fin_Analysis!C108="Dividend",Fin_Analysis!I103,Fin_Analysis!I106))</f>
        <v>5.5442457572732868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2.7878157531728505</v>
      </c>
      <c r="D57" s="153">
        <f t="shared" si="47"/>
        <v>2.1065832583563924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92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162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219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239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153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0.1925125459203946</v>
      </c>
      <c r="D87" s="209"/>
      <c r="E87" s="262">
        <f>E86*Exchange_Rate/Dashboard!G3</f>
        <v>0.1925125459203946</v>
      </c>
      <c r="F87" s="209"/>
      <c r="H87" s="262">
        <f>H86*Exchange_Rate/Dashboard!G3</f>
        <v>0.1925125459203946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208</v>
      </c>
      <c r="C89" s="261">
        <f>C88*Exchange_Rate/Dashboard!G3</f>
        <v>0.10008772005887927</v>
      </c>
      <c r="D89" s="209"/>
      <c r="E89" s="261">
        <f>E88*Exchange_Rate/Dashboard!G3</f>
        <v>6.7384012606965388E-2</v>
      </c>
      <c r="F89" s="209"/>
      <c r="H89" s="261">
        <f>H88*Exchange_Rate/Dashboard!G3</f>
        <v>6.7384012606965388E-2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41.697009098367417</v>
      </c>
      <c r="H93" s="87" t="s">
        <v>196</v>
      </c>
      <c r="I93" s="144">
        <f>FV(H87,D93,0,-(H86/(C93-D94)))*Exchange_Rate</f>
        <v>41.697009098367417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8.3847751351733457</v>
      </c>
      <c r="H94" s="87" t="s">
        <v>197</v>
      </c>
      <c r="I94" s="144">
        <f>FV(H89,D93,0,-(H88/(C93-D94)))*Exchange_Rate</f>
        <v>8.3847751351733457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1539524.4603147539</v>
      </c>
      <c r="D97" s="213"/>
      <c r="E97" s="123">
        <f>PV(C94,D93,0,-F93)</f>
        <v>20.730782855229403</v>
      </c>
      <c r="F97" s="213"/>
      <c r="H97" s="123">
        <f>PV(C94,D93,0,-I93)</f>
        <v>20.730782855229403</v>
      </c>
      <c r="I97" s="123">
        <f>PV(C93,D93,0,-I93)</f>
        <v>27.571218316259571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1539524.4603147539</v>
      </c>
      <c r="D100" s="109">
        <f>MIN(F100*(1-C94),E100)</f>
        <v>17.621165426944991</v>
      </c>
      <c r="E100" s="109">
        <f>MAX(E97+H98+E99,0)</f>
        <v>20.730782855229403</v>
      </c>
      <c r="F100" s="109">
        <f>(E100+H100)/2</f>
        <v>20.730782855229403</v>
      </c>
      <c r="H100" s="109">
        <f>MAX(C100*Data!$C$4/Common_Shares,0)</f>
        <v>20.730782855229403</v>
      </c>
      <c r="I100" s="109">
        <f>MAX(I97+H98+H99,0)</f>
        <v>27.571218316259571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309580.15200528438</v>
      </c>
      <c r="D103" s="109">
        <f>MIN(F103*(1-C94),E103)</f>
        <v>3.543407858728397</v>
      </c>
      <c r="E103" s="123">
        <f>PV(C94,D93,0,-F94)</f>
        <v>4.1687151279157613</v>
      </c>
      <c r="F103" s="109">
        <f>(E103+H103)/2</f>
        <v>4.1687151279157613</v>
      </c>
      <c r="H103" s="123">
        <f>PV(C94,D93,0,-I94)</f>
        <v>4.1687151279157613</v>
      </c>
      <c r="I103" s="109">
        <f>PV(C93,D93,0,-I94)</f>
        <v>5.5442457572732868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924552.30616001901</v>
      </c>
      <c r="D106" s="109">
        <f>(D100+D103)/2</f>
        <v>10.582286642836694</v>
      </c>
      <c r="E106" s="123">
        <f>(E100+E103)/2</f>
        <v>12.449748991572582</v>
      </c>
      <c r="F106" s="109">
        <f>(F100+F103)/2</f>
        <v>12.449748991572582</v>
      </c>
      <c r="H106" s="123">
        <f>(H100+H103)/2</f>
        <v>12.449748991572582</v>
      </c>
      <c r="I106" s="123">
        <f>(I100+I103)/2</f>
        <v>16.557732036766428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