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D19861F9-200D-4056-8206-C44C8DF41287}" xr6:coauthVersionLast="47" xr6:coauthVersionMax="47" xr10:uidLastSave="{00000000-0000-0000-0000-000000000000}"/>
  <bookViews>
    <workbookView xWindow="-98" yWindow="-98" windowWidth="17115" windowHeight="10755" activeTab="1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F95" i="4"/>
  <c r="F94" i="4"/>
  <c r="F93" i="4"/>
  <c r="E93" i="4"/>
  <c r="F91" i="4"/>
  <c r="F92" i="4" s="1"/>
  <c r="E91" i="4"/>
  <c r="E92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3" i="4" s="1"/>
  <c r="B7" i="3"/>
  <c r="M53" i="2"/>
  <c r="E95" i="4" l="1"/>
  <c r="F96" i="4"/>
  <c r="F97" i="4"/>
  <c r="D56" i="4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D33" i="2" l="1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37" i="2"/>
  <c r="L38" i="2"/>
  <c r="L39" i="2" s="1"/>
  <c r="L40" i="2" s="1"/>
  <c r="L19" i="2"/>
  <c r="K19" i="2"/>
  <c r="L27" i="2" l="1"/>
  <c r="L55" i="2"/>
  <c r="L35" i="2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E55" i="2" s="1"/>
  <c r="F36" i="2"/>
  <c r="F55" i="2" s="1"/>
  <c r="G36" i="2"/>
  <c r="G55" i="2" s="1"/>
  <c r="H36" i="2"/>
  <c r="H55" i="2" s="1"/>
  <c r="I36" i="2"/>
  <c r="J36" i="2"/>
  <c r="K36" i="2"/>
  <c r="M36" i="2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D55" i="2" s="1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1" i="2" s="1"/>
  <c r="L51" i="2"/>
  <c r="M29" i="2"/>
  <c r="M51" i="2" s="1"/>
  <c r="E30" i="2"/>
  <c r="F30" i="2"/>
  <c r="G30" i="2"/>
  <c r="H30" i="2"/>
  <c r="I30" i="2"/>
  <c r="J30" i="2"/>
  <c r="J52" i="2" s="1"/>
  <c r="K30" i="2"/>
  <c r="K52" i="2" s="1"/>
  <c r="L52" i="2"/>
  <c r="M30" i="2"/>
  <c r="M52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M27" i="2" l="1"/>
  <c r="M55" i="2"/>
  <c r="J27" i="2"/>
  <c r="J55" i="2"/>
  <c r="I27" i="2"/>
  <c r="I55" i="2"/>
  <c r="K27" i="2"/>
  <c r="K55" i="2"/>
  <c r="K53" i="2"/>
  <c r="L50" i="2"/>
  <c r="F53" i="2"/>
  <c r="G50" i="2"/>
  <c r="D53" i="2"/>
  <c r="E50" i="2"/>
  <c r="C53" i="2"/>
  <c r="H53" i="2"/>
  <c r="I50" i="2"/>
  <c r="J53" i="2"/>
  <c r="K50" i="2"/>
  <c r="I53" i="2"/>
  <c r="J50" i="2"/>
  <c r="G53" i="2"/>
  <c r="H50" i="2"/>
  <c r="E53" i="2"/>
  <c r="F50" i="2"/>
  <c r="L53" i="2"/>
  <c r="M50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61" i="2" s="1"/>
  <c r="L47" i="2"/>
  <c r="K22" i="2"/>
  <c r="K61" i="2" s="1"/>
  <c r="K47" i="2"/>
  <c r="I22" i="2"/>
  <c r="I61" i="2" s="1"/>
  <c r="I47" i="2"/>
  <c r="J22" i="2"/>
  <c r="J61" i="2" s="1"/>
  <c r="J47" i="2"/>
  <c r="F47" i="2"/>
  <c r="C47" i="2"/>
  <c r="M22" i="2"/>
  <c r="M61" i="2" s="1"/>
  <c r="M47" i="2"/>
  <c r="L46" i="2"/>
  <c r="L14" i="2"/>
  <c r="I14" i="2"/>
  <c r="I60" i="2" s="1"/>
  <c r="I46" i="2"/>
  <c r="K46" i="2"/>
  <c r="K14" i="2"/>
  <c r="J14" i="2"/>
  <c r="J60" i="2" s="1"/>
  <c r="J46" i="2"/>
  <c r="H46" i="2"/>
  <c r="F46" i="2"/>
  <c r="G46" i="2"/>
  <c r="E46" i="2"/>
  <c r="D46" i="2"/>
  <c r="C46" i="2"/>
  <c r="M46" i="2"/>
  <c r="M14" i="2"/>
  <c r="I52" i="2"/>
  <c r="I51" i="2"/>
  <c r="J51" i="2"/>
  <c r="H52" i="2"/>
  <c r="G52" i="2"/>
  <c r="H27" i="2"/>
  <c r="H39" i="2" s="1"/>
  <c r="H51" i="2"/>
  <c r="G51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2" i="2"/>
  <c r="E51" i="2"/>
  <c r="D35" i="2"/>
  <c r="I35" i="2"/>
  <c r="F52" i="2"/>
  <c r="J35" i="2"/>
  <c r="F51" i="2"/>
  <c r="G18" i="2"/>
  <c r="F27" i="2"/>
  <c r="F39" i="2" s="1"/>
  <c r="E27" i="2"/>
  <c r="E39" i="2" s="1"/>
  <c r="D52" i="2"/>
  <c r="H35" i="2"/>
  <c r="D51" i="2"/>
  <c r="G35" i="2"/>
  <c r="F35" i="2"/>
  <c r="D27" i="2"/>
  <c r="D39" i="2" s="1"/>
  <c r="E18" i="2"/>
  <c r="F18" i="2"/>
  <c r="J18" i="2"/>
  <c r="F9" i="2"/>
  <c r="F14" i="2" s="1"/>
  <c r="E9" i="2"/>
  <c r="E14" i="2" s="1"/>
  <c r="L7" i="2"/>
  <c r="C7" i="2"/>
  <c r="M18" i="2"/>
  <c r="E7" i="2"/>
  <c r="C18" i="2"/>
  <c r="D9" i="2"/>
  <c r="D14" i="2" s="1"/>
  <c r="H7" i="2"/>
  <c r="H9" i="2"/>
  <c r="H14" i="2" s="1"/>
  <c r="H60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D50" i="2" l="1"/>
  <c r="E22" i="2"/>
  <c r="E61" i="2" s="1"/>
  <c r="E60" i="2"/>
  <c r="F22" i="2"/>
  <c r="F61" i="2" s="1"/>
  <c r="F60" i="2"/>
  <c r="K15" i="2"/>
  <c r="L60" i="2"/>
  <c r="D22" i="2"/>
  <c r="D61" i="2" s="1"/>
  <c r="D60" i="2"/>
  <c r="L15" i="2"/>
  <c r="M60" i="2"/>
  <c r="J15" i="2"/>
  <c r="K60" i="2"/>
  <c r="G22" i="2"/>
  <c r="G61" i="2" s="1"/>
  <c r="G60" i="2"/>
  <c r="H103" i="3"/>
  <c r="I103" i="3"/>
  <c r="D93" i="4"/>
  <c r="D97" i="4"/>
  <c r="D92" i="4"/>
  <c r="C22" i="2"/>
  <c r="F3" i="2"/>
  <c r="H22" i="2"/>
  <c r="H61" i="2" s="1"/>
  <c r="M13" i="2"/>
  <c r="M59" i="2" s="1"/>
  <c r="F15" i="2"/>
  <c r="H15" i="2"/>
  <c r="G15" i="2"/>
  <c r="C15" i="2"/>
  <c r="H74" i="3" s="1"/>
  <c r="G57" i="2"/>
  <c r="D15" i="2"/>
  <c r="E15" i="2"/>
  <c r="K13" i="2"/>
  <c r="K59" i="2" s="1"/>
  <c r="E13" i="2"/>
  <c r="E59" i="2" s="1"/>
  <c r="L13" i="2"/>
  <c r="E40" i="2"/>
  <c r="G13" i="2"/>
  <c r="E57" i="2"/>
  <c r="D40" i="2"/>
  <c r="D13" i="2"/>
  <c r="G40" i="2"/>
  <c r="K56" i="2"/>
  <c r="L24" i="2"/>
  <c r="L23" i="2" s="1"/>
  <c r="M57" i="2"/>
  <c r="M56" i="2"/>
  <c r="D59" i="2" l="1"/>
  <c r="D56" i="2"/>
  <c r="G59" i="2"/>
  <c r="L59" i="2"/>
  <c r="H75" i="3"/>
  <c r="H77" i="3"/>
  <c r="E74" i="3"/>
  <c r="H78" i="3"/>
  <c r="I15" i="2"/>
  <c r="J57" i="2"/>
  <c r="J13" i="2"/>
  <c r="J59" i="2" s="1"/>
  <c r="H40" i="2"/>
  <c r="H13" i="2"/>
  <c r="H59" i="2" s="1"/>
  <c r="H57" i="2"/>
  <c r="F40" i="2"/>
  <c r="F13" i="2"/>
  <c r="F59" i="2" s="1"/>
  <c r="F57" i="2"/>
  <c r="I13" i="2"/>
  <c r="I59" i="2" s="1"/>
  <c r="I57" i="2"/>
  <c r="C13" i="2"/>
  <c r="K57" i="2"/>
  <c r="L57" i="2"/>
  <c r="L56" i="2"/>
  <c r="D57" i="2"/>
  <c r="G56" i="2"/>
  <c r="G3" i="2"/>
  <c r="C57" i="2"/>
  <c r="D48" i="2"/>
  <c r="E56" i="2"/>
  <c r="E89" i="3"/>
  <c r="C23" i="1" l="1"/>
  <c r="F94" i="3"/>
  <c r="E103" i="3" s="1"/>
  <c r="E77" i="3"/>
  <c r="E75" i="3"/>
  <c r="J56" i="2"/>
  <c r="H56" i="2"/>
  <c r="I56" i="2"/>
  <c r="F56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C30" i="2"/>
  <c r="E9" i="3"/>
  <c r="E6" i="1" s="1"/>
  <c r="C103" i="3" l="1"/>
  <c r="C51" i="2"/>
  <c r="C52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8" i="2"/>
  <c r="E58" i="2"/>
  <c r="F58" i="2"/>
  <c r="G58" i="2"/>
  <c r="H58" i="2"/>
  <c r="I58" i="2"/>
  <c r="J58" i="2"/>
  <c r="K58" i="2"/>
  <c r="L58" i="2"/>
  <c r="M58" i="2"/>
  <c r="C31" i="2"/>
  <c r="C32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25" i="1" l="1"/>
  <c r="C35" i="2"/>
  <c r="C56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F80" i="3"/>
  <c r="E80" i="3" s="1"/>
  <c r="E76" i="3"/>
  <c r="E79" i="3" s="1"/>
  <c r="H76" i="3"/>
  <c r="H79" i="3" s="1"/>
  <c r="D83" i="3"/>
  <c r="D85" i="3"/>
  <c r="C86" i="3"/>
  <c r="C87" i="3" s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8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C24" i="1" s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F81" i="3" l="1"/>
  <c r="E81" i="3" s="1"/>
  <c r="H99" i="3"/>
  <c r="C70" i="3"/>
  <c r="D70" i="3" s="1"/>
  <c r="C39" i="2"/>
  <c r="C40" i="2" s="1"/>
  <c r="D49" i="3"/>
  <c r="D68" i="3"/>
  <c r="D4" i="3"/>
  <c r="C53" i="3" s="1"/>
  <c r="C36" i="2"/>
  <c r="J28" i="3"/>
  <c r="E99" i="3" l="1"/>
  <c r="G23" i="1"/>
  <c r="E53" i="3" s="1"/>
  <c r="C27" i="2"/>
  <c r="C50" i="2" s="1"/>
  <c r="C37" i="2"/>
  <c r="C55" i="2" s="1"/>
  <c r="C21" i="1" s="1"/>
  <c r="C22" i="1" l="1"/>
  <c r="C20" i="1" s="1"/>
  <c r="C61" i="2"/>
  <c r="C60" i="2"/>
  <c r="C59" i="2" s="1"/>
  <c r="C98" i="3"/>
  <c r="D6" i="3"/>
  <c r="H98" i="3"/>
  <c r="D95" i="4" l="1"/>
  <c r="D53" i="3"/>
  <c r="D7" i="3"/>
  <c r="D52" i="3"/>
  <c r="E82" i="3" l="1"/>
  <c r="E83" i="3" s="1"/>
  <c r="H82" i="3"/>
  <c r="E6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I97" i="3"/>
  <c r="I100" i="3" s="1"/>
  <c r="C106" i="3"/>
  <c r="C100" i="3" l="1"/>
  <c r="H100" i="3" s="1"/>
  <c r="I106" i="3"/>
  <c r="G29" i="1"/>
  <c r="D29" i="1" s="1"/>
  <c r="H106" i="3" l="1"/>
  <c r="F100" i="3"/>
  <c r="D100" i="3" s="1"/>
  <c r="F106" i="3" l="1"/>
  <c r="F29" i="1" s="1"/>
  <c r="C29" i="1"/>
  <c r="D106" i="3"/>
</calcChain>
</file>

<file path=xl/sharedStrings.xml><?xml version="1.0" encoding="utf-8"?>
<sst xmlns="http://schemas.openxmlformats.org/spreadsheetml/2006/main" count="393" uniqueCount="273">
  <si>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</si>
  <si>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</si>
  <si>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</si>
  <si>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</si>
  <si>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</si>
  <si>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</si>
  <si>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</si>
  <si>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</si>
  <si>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</si>
  <si>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</si>
  <si>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</si>
  <si>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</si>
  <si>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</si>
  <si>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</si>
  <si>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</si>
  <si>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</si>
  <si>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</si>
  <si>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</si>
  <si>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</si>
  <si>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</si>
  <si>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</si>
  <si>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</si>
  <si>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</si>
  <si>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</si>
  <si>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</si>
  <si>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</si>
  <si>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</si>
  <si>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</si>
  <si>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</si>
  <si>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</si>
  <si>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</si>
  <si>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</si>
  <si>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</si>
  <si>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</si>
  <si>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</si>
  <si>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</si>
  <si>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</si>
  <si>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</si>
  <si>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</si>
  <si>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</si>
  <si>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</si>
  <si>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</si>
  <si>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</si>
  <si>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</si>
  <si>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</si>
  <si>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</si>
  <si>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</si>
  <si>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</si>
  <si>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</si>
  <si>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</si>
  <si>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</si>
  <si>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</si>
  <si>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</si>
  <si>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</si>
  <si>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</si>
  <si>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</si>
  <si>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</si>
  <si>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</si>
  <si>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</si>
  <si>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</si>
  <si>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</si>
  <si>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</si>
  <si>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</si>
  <si>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</si>
  <si>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</si>
  <si>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</si>
  <si>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</si>
  <si>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</si>
  <si>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</si>
  <si>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</si>
  <si>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</si>
  <si>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</si>
  <si>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</si>
  <si>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</si>
  <si>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</si>
  <si>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</si>
  <si>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</si>
  <si>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</si>
  <si>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</si>
  <si>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</si>
  <si>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</si>
  <si>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</si>
  <si>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</si>
  <si>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</si>
  <si>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</si>
  <si>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</si>
  <si>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</si>
  <si>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</si>
  <si>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</si>
  <si>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</si>
  <si>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</si>
  <si>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</si>
  <si>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</si>
  <si>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</si>
  <si>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</si>
  <si>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</si>
  <si>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</si>
  <si>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</si>
  <si>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</si>
  <si>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</si>
  <si>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</si>
  <si>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</si>
  <si>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</si>
  <si>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</si>
  <si>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</si>
  <si>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</si>
  <si>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</si>
  <si>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</si>
  <si>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</si>
  <si>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</si>
  <si>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</si>
  <si>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</si>
  <si>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</si>
  <si>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</si>
  <si>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</si>
  <si>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</si>
  <si>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</si>
  <si>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</si>
  <si>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</si>
  <si>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</si>
  <si>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</si>
  <si>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</si>
  <si>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</si>
  <si>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</si>
  <si>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</si>
  <si>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</si>
  <si>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</si>
  <si>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</si>
  <si>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</si>
  <si>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</si>
  <si>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</si>
  <si>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</si>
  <si>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</si>
  <si>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</si>
  <si>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</si>
  <si>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</si>
  <si>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</si>
  <si>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</si>
  <si>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</si>
  <si>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</si>
  <si>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</si>
  <si>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</si>
  <si>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Inventory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</si>
  <si>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</si>
  <si>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</si>
  <si>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</si>
  <si>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</si>
  <si>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</si>
  <si>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</si>
  <si>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</si>
  <si>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</si>
  <si>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</si>
  <si>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</si>
  <si>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</si>
  <si>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</si>
  <si>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</si>
  <si>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</si>
  <si>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</si>
  <si>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</si>
  <si>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</si>
  <si>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</si>
  <si>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</si>
  <si>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</si>
  <si>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</si>
  <si>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</si>
  <si>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</si>
  <si>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</si>
  <si>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</si>
  <si>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</si>
  <si>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</si>
  <si>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</si>
  <si>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</si>
  <si>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</si>
  <si>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</si>
  <si>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</si>
  <si>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</si>
  <si>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</si>
  <si>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</si>
  <si>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</si>
  <si>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</si>
  <si>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</si>
  <si>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</si>
  <si>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</si>
  <si>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</si>
  <si>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</si>
  <si>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</si>
  <si>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</si>
  <si>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</si>
  <si>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</si>
  <si>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</si>
  <si>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</si>
  <si>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</si>
  <si>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</si>
  <si>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</si>
  <si>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</si>
  <si>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</si>
  <si>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</si>
  <si>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</si>
  <si>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</si>
  <si>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</si>
  <si>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</si>
  <si>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</si>
  <si>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</si>
  <si>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</si>
  <si>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</si>
  <si>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</si>
  <si>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</si>
  <si>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</si>
  <si>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</si>
  <si>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</si>
  <si>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</si>
  <si>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</si>
  <si>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</si>
  <si>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</si>
  <si>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</si>
  <si>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</si>
  <si>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</si>
  <si>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</si>
  <si>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</si>
  <si>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</si>
  <si>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</si>
  <si>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</si>
  <si>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</si>
  <si>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</si>
  <si>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</si>
  <si>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</si>
  <si>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</si>
  <si>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</si>
  <si>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</si>
  <si>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</si>
  <si>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</si>
  <si>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</si>
  <si>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</si>
  <si>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</si>
  <si>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</si>
  <si>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</si>
  <si>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</si>
  <si>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</si>
  <si>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</si>
  <si>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</si>
  <si>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</si>
  <si>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</si>
  <si>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</si>
  <si>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</si>
  <si>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</si>
  <si>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</si>
  <si>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Minority interests</t>
    <phoneticPr fontId="20" type="noConversion"/>
  </si>
  <si>
    <t>Profibility Analysis</t>
    <phoneticPr fontId="20" type="noConversion"/>
  </si>
  <si>
    <t>Asset Turnover</t>
    <phoneticPr fontId="20" type="noConversion"/>
  </si>
  <si>
    <t>Leverage Analysis</t>
    <phoneticPr fontId="20" type="noConversion"/>
  </si>
  <si>
    <t>Common_Equity / Total Assets</t>
    <phoneticPr fontId="20" type="noConversion"/>
  </si>
  <si>
    <t>ROE</t>
    <phoneticPr fontId="20" type="noConversion"/>
  </si>
  <si>
    <t>EBIT ROE</t>
    <phoneticPr fontId="20" type="noConversion"/>
  </si>
  <si>
    <t>Pre-tax ROE</t>
    <phoneticPr fontId="20" type="noConversion"/>
  </si>
  <si>
    <t>Sales/Total_Assets</t>
    <phoneticPr fontId="20" type="noConversion"/>
  </si>
  <si>
    <t>ST_AR / Sales</t>
    <phoneticPr fontId="20" type="noConversion"/>
  </si>
  <si>
    <t>ST_Inventory / Sales</t>
    <phoneticPr fontId="20" type="noConversion"/>
  </si>
  <si>
    <t>Sales Turnover</t>
    <phoneticPr fontId="20" type="noConversion"/>
  </si>
  <si>
    <t>EBIT Margin</t>
    <phoneticPr fontId="20" type="noConversion"/>
  </si>
  <si>
    <t>Interest Expense</t>
    <phoneticPr fontId="20" type="noConversion"/>
  </si>
  <si>
    <t>Normalized ΔWC</t>
    <phoneticPr fontId="20" type="noConversion"/>
  </si>
  <si>
    <t>Normalized CAPX-D&amp;A</t>
    <phoneticPr fontId="20" type="noConversion"/>
  </si>
  <si>
    <t>ROE &amp; Cost Structure</t>
    <phoneticPr fontId="20" type="noConversion"/>
  </si>
  <si>
    <t>3968.HK</t>
  </si>
  <si>
    <t>招商银行</t>
  </si>
  <si>
    <t xml:space="preserve">Superior Cycl. </t>
  </si>
  <si>
    <t>C0014</t>
  </si>
  <si>
    <t>CNY</t>
  </si>
  <si>
    <t>Strongly agree</t>
  </si>
  <si>
    <t>agree</t>
  </si>
  <si>
    <t>Consumer Monopoly</t>
  </si>
  <si>
    <t>Dividend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</si>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</sst>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99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80" fontId="4" fillId="0" borderId="0" xfId="0" applyNumberFormat="1" applyFont="1" applyAlignment="1">
      <alignment horizontal="right"/>
    </xf>
    <xf numFmtId="10" fontId="4" fillId="0" borderId="8" xfId="0" applyNumberFormat="1" applyFont="1" applyBorder="1"/>
    <xf numFmtId="10" fontId="4" fillId="0" borderId="0" xfId="0" applyNumberFormat="1" applyFont="1" applyAlignment="1">
      <alignment horizontal="right"/>
    </xf>
    <xf numFmtId="0" fontId="4" fillId="0" borderId="23" xfId="0" applyFont="1" applyBorder="1" applyAlignment="1">
      <alignment horizontal="center"/>
    </xf>
    <xf numFmtId="10" fontId="4" fillId="0" borderId="24" xfId="0" applyNumberFormat="1" applyFont="1" applyBorder="1" applyAlignment="1">
      <alignment horizontal="right"/>
    </xf>
    <xf numFmtId="0" fontId="4" fillId="0" borderId="25" xfId="0" applyFont="1" applyBorder="1" applyAlignment="1">
      <alignment horizontal="center"/>
    </xf>
    <xf numFmtId="10" fontId="4" fillId="0" borderId="26" xfId="0" applyNumberFormat="1" applyFont="1" applyBorder="1" applyAlignment="1">
      <alignment horizontal="right"/>
    </xf>
    <xf numFmtId="0" fontId="4" fillId="0" borderId="27" xfId="0" applyFont="1" applyBorder="1" applyAlignment="1">
      <alignment horizontal="center"/>
    </xf>
    <xf numFmtId="180" fontId="4" fillId="0" borderId="28" xfId="0" applyNumberFormat="1" applyFont="1" applyBorder="1" applyAlignment="1">
      <alignment horizontal="right"/>
    </xf>
    <xf numFmtId="0" fontId="4" fillId="0" borderId="29" xfId="0" applyFont="1" applyBorder="1" applyAlignment="1">
      <alignment horizontal="center"/>
    </xf>
    <xf numFmtId="10" fontId="4" fillId="0" borderId="30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201</v>
      </c>
    </row>
    <row r="4" spans="1:5" ht="13.9" x14ac:dyDescent="0.4">
      <c r="B4" s="141" t="s">
        <v>181</v>
      </c>
      <c r="C4" s="188" t="s">
        <v>263</v>
      </c>
    </row>
    <row r="5" spans="1:5" ht="13.9" x14ac:dyDescent="0.4">
      <c r="B5" s="141" t="s">
        <v>182</v>
      </c>
      <c r="C5" s="191" t="s">
        <v>264</v>
      </c>
    </row>
    <row r="6" spans="1:5" ht="13.9" x14ac:dyDescent="0.4">
      <c r="B6" s="141" t="s">
        <v>156</v>
      </c>
      <c r="C6" s="189">
        <v>45606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202</v>
      </c>
      <c r="C8" s="191" t="s">
        <v>265</v>
      </c>
      <c r="E8" s="267"/>
    </row>
    <row r="9" spans="1:5" ht="13.9" x14ac:dyDescent="0.4">
      <c r="B9" s="140" t="s">
        <v>203</v>
      </c>
      <c r="C9" s="192" t="s">
        <v>266</v>
      </c>
    </row>
    <row r="10" spans="1:5" ht="13.9" x14ac:dyDescent="0.4">
      <c r="B10" s="140" t="s">
        <v>204</v>
      </c>
      <c r="C10" s="193">
        <v>25219845601</v>
      </c>
    </row>
    <row r="11" spans="1:5" ht="13.9" x14ac:dyDescent="0.4">
      <c r="B11" s="140" t="s">
        <v>205</v>
      </c>
      <c r="C11" s="192" t="s">
        <v>267</v>
      </c>
    </row>
    <row r="12" spans="1:5" ht="13.9" x14ac:dyDescent="0.4">
      <c r="B12" s="218" t="s">
        <v>9</v>
      </c>
      <c r="C12" s="219">
        <v>45291</v>
      </c>
    </row>
    <row r="13" spans="1:5" ht="13.9" x14ac:dyDescent="0.4">
      <c r="B13" s="218" t="s">
        <v>10</v>
      </c>
      <c r="C13" s="220">
        <v>1000000</v>
      </c>
    </row>
    <row r="14" spans="1:5" ht="13.9" x14ac:dyDescent="0.4">
      <c r="B14" s="218" t="s">
        <v>206</v>
      </c>
      <c r="C14" s="219">
        <v>45473</v>
      </c>
    </row>
    <row r="15" spans="1:5" ht="13.9" x14ac:dyDescent="0.4">
      <c r="B15" s="218" t="s">
        <v>238</v>
      </c>
      <c r="C15" s="176" t="s">
        <v>242</v>
      </c>
    </row>
    <row r="16" spans="1:5" ht="13.9" x14ac:dyDescent="0.4">
      <c r="B16" s="222" t="s">
        <v>93</v>
      </c>
      <c r="C16" s="223">
        <v>0.25</v>
      </c>
      <c r="D16" s="24"/>
    </row>
    <row r="17" spans="2:13" ht="13.9" x14ac:dyDescent="0.4">
      <c r="B17" s="240" t="s">
        <v>211</v>
      </c>
      <c r="C17" s="242" t="s">
        <v>268</v>
      </c>
      <c r="D17" s="24"/>
    </row>
    <row r="18" spans="2:13" ht="13.9" x14ac:dyDescent="0.4">
      <c r="B18" s="240" t="s">
        <v>225</v>
      </c>
      <c r="C18" s="242" t="s">
        <v>269</v>
      </c>
      <c r="D18" s="24"/>
    </row>
    <row r="19" spans="2:13" ht="13.9" x14ac:dyDescent="0.4">
      <c r="B19" s="240" t="s">
        <v>226</v>
      </c>
      <c r="C19" s="242" t="s">
        <v>269</v>
      </c>
      <c r="D19" s="24"/>
    </row>
    <row r="20" spans="2:13" ht="13.9" x14ac:dyDescent="0.4">
      <c r="B20" s="241" t="s">
        <v>215</v>
      </c>
      <c r="C20" s="242" t="s">
        <v>269</v>
      </c>
      <c r="D20" s="24"/>
    </row>
    <row r="21" spans="2:13" ht="13.9" x14ac:dyDescent="0.4">
      <c r="B21" s="224" t="s">
        <v>218</v>
      </c>
      <c r="C21" s="242" t="s">
        <v>268</v>
      </c>
      <c r="D21" s="24"/>
    </row>
    <row r="22" spans="2:13" ht="78.75" x14ac:dyDescent="0.4">
      <c r="B22" s="226" t="s">
        <v>217</v>
      </c>
      <c r="C22" s="243" t="s">
        <v>270</v>
      </c>
      <c r="D22" s="24"/>
    </row>
    <row r="24" spans="2:13" ht="13.9" x14ac:dyDescent="0.4">
      <c r="B24" s="115" t="s">
        <v>129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9">
        <v>468444</v>
      </c>
      <c r="D25" s="149">
        <v>456752</v>
      </c>
      <c r="E25" s="149"/>
      <c r="F25" s="149"/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102</v>
      </c>
      <c r="C26" s="150">
        <v>8726</v>
      </c>
      <c r="D26" s="150">
        <v>9097</v>
      </c>
      <c r="E26" s="150"/>
      <c r="F26" s="150"/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100</v>
      </c>
      <c r="C27" s="150">
        <v>120991</v>
      </c>
      <c r="D27" s="150">
        <v>122061</v>
      </c>
      <c r="E27" s="150"/>
      <c r="F27" s="150"/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103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239</v>
      </c>
      <c r="C29" s="150">
        <v>160941</v>
      </c>
      <c r="D29" s="150">
        <v>135145</v>
      </c>
      <c r="E29" s="150"/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107</v>
      </c>
      <c r="C30" s="150">
        <v>1404</v>
      </c>
      <c r="D30" s="150">
        <v>1282</v>
      </c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106</v>
      </c>
      <c r="C31" s="150"/>
      <c r="D31" s="150"/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101</v>
      </c>
      <c r="C32" s="150"/>
      <c r="D32" s="150"/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104</v>
      </c>
      <c r="C33" s="150"/>
      <c r="D33" s="150"/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14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113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142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15</v>
      </c>
      <c r="C37" s="217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112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133</v>
      </c>
      <c r="C41" s="217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246</v>
      </c>
      <c r="C42" s="217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132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194</v>
      </c>
      <c r="C44" s="250">
        <v>1.972</v>
      </c>
      <c r="D44" s="250"/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235</v>
      </c>
      <c r="C45" s="152">
        <f>IF(C44="","",C44*Exchange_Rate/Dashboard!$G$3)</f>
        <v>5.6298607816471224E-2</v>
      </c>
      <c r="D45" s="152" t="str">
        <f>IF(D44="","",D44*Exchange_Rate/Dashboard!$G$3)</f>
        <v/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233</v>
      </c>
      <c r="C47" s="194" t="s">
        <v>30</v>
      </c>
      <c r="D47" s="194" t="s">
        <v>183</v>
      </c>
      <c r="E47" s="111" t="s">
        <v>32</v>
      </c>
    </row>
    <row r="48" spans="2:13" ht="13.9" x14ac:dyDescent="0.4">
      <c r="B48" s="3" t="s">
        <v>34</v>
      </c>
      <c r="C48" s="59"/>
      <c r="D48" s="60">
        <v>0.9</v>
      </c>
      <c r="E48" s="112"/>
    </row>
    <row r="49" spans="2:5" ht="13.9" x14ac:dyDescent="0.4">
      <c r="B49" s="1" t="s">
        <v>131</v>
      </c>
      <c r="C49" s="59"/>
      <c r="D49" s="60">
        <v>0.8</v>
      </c>
      <c r="E49" s="112"/>
    </row>
    <row r="50" spans="2:5" ht="13.9" x14ac:dyDescent="0.4">
      <c r="B50" s="3" t="s">
        <v>113</v>
      </c>
      <c r="C50" s="59"/>
      <c r="D50" s="60">
        <f>D51</f>
        <v>0.6</v>
      </c>
      <c r="E50" s="112"/>
    </row>
    <row r="51" spans="2:5" ht="13.9" x14ac:dyDescent="0.4">
      <c r="B51" s="3" t="s">
        <v>38</v>
      </c>
      <c r="C51" s="59"/>
      <c r="D51" s="60">
        <v>0.6</v>
      </c>
      <c r="E51" s="112"/>
    </row>
    <row r="52" spans="2:5" ht="13.9" x14ac:dyDescent="0.4">
      <c r="B52" s="3" t="s">
        <v>40</v>
      </c>
      <c r="C52" s="59"/>
      <c r="D52" s="60">
        <v>0.5</v>
      </c>
      <c r="E52" s="112"/>
    </row>
    <row r="53" spans="2:5" ht="13.9" x14ac:dyDescent="0.4">
      <c r="B53" s="1" t="s">
        <v>151</v>
      </c>
      <c r="C53" s="59"/>
      <c r="D53" s="60">
        <f>D50</f>
        <v>0.6</v>
      </c>
      <c r="E53" s="112"/>
    </row>
    <row r="54" spans="2:5" ht="13.9" x14ac:dyDescent="0.4">
      <c r="B54" s="3" t="s">
        <v>244</v>
      </c>
      <c r="C54" s="59"/>
      <c r="D54" s="60">
        <v>0.1</v>
      </c>
      <c r="E54" s="112"/>
    </row>
    <row r="55" spans="2:5" ht="13.9" x14ac:dyDescent="0.4">
      <c r="B55" s="3" t="s">
        <v>43</v>
      </c>
      <c r="C55" s="59"/>
      <c r="D55" s="60">
        <f>D52</f>
        <v>0.5</v>
      </c>
      <c r="E55" s="112"/>
    </row>
    <row r="56" spans="2:5" ht="13.9" x14ac:dyDescent="0.4">
      <c r="B56" s="1" t="s">
        <v>44</v>
      </c>
      <c r="C56" s="59"/>
      <c r="D56" s="60">
        <f>D50</f>
        <v>0.6</v>
      </c>
      <c r="E56" s="221" t="s">
        <v>67</v>
      </c>
    </row>
    <row r="57" spans="2:5" ht="13.9" x14ac:dyDescent="0.4">
      <c r="B57" s="3" t="s">
        <v>116</v>
      </c>
      <c r="C57" s="59"/>
      <c r="D57" s="60">
        <v>0.6</v>
      </c>
      <c r="E57" s="221" t="s">
        <v>42</v>
      </c>
    </row>
    <row r="58" spans="2:5" ht="13.9" x14ac:dyDescent="0.4">
      <c r="B58" s="3" t="s">
        <v>46</v>
      </c>
      <c r="C58" s="59"/>
      <c r="D58" s="60">
        <f>D48</f>
        <v>0.9</v>
      </c>
      <c r="E58" s="112"/>
    </row>
    <row r="59" spans="2:5" ht="13.9" x14ac:dyDescent="0.4">
      <c r="B59" s="35" t="s">
        <v>47</v>
      </c>
      <c r="C59" s="120"/>
      <c r="D59" s="195">
        <f>D70</f>
        <v>0.05</v>
      </c>
      <c r="E59" s="112"/>
    </row>
    <row r="60" spans="2:5" ht="13.9" x14ac:dyDescent="0.4">
      <c r="B60" s="3" t="s">
        <v>57</v>
      </c>
      <c r="C60" s="59"/>
      <c r="D60" s="60">
        <f>D49</f>
        <v>0.8</v>
      </c>
      <c r="E60" s="112"/>
    </row>
    <row r="61" spans="2:5" ht="13.9" x14ac:dyDescent="0.4">
      <c r="B61" s="3" t="s">
        <v>59</v>
      </c>
      <c r="C61" s="59"/>
      <c r="D61" s="60">
        <f>D51</f>
        <v>0.6</v>
      </c>
      <c r="E61" s="112"/>
    </row>
    <row r="62" spans="2:5" ht="13.9" x14ac:dyDescent="0.4">
      <c r="B62" s="3" t="s">
        <v>61</v>
      </c>
      <c r="C62" s="59"/>
      <c r="D62" s="60">
        <f>D52</f>
        <v>0.5</v>
      </c>
      <c r="E62" s="112"/>
    </row>
    <row r="63" spans="2:5" ht="13.9" x14ac:dyDescent="0.4">
      <c r="B63" s="1" t="s">
        <v>152</v>
      </c>
      <c r="C63" s="59"/>
      <c r="D63" s="60">
        <f>D62</f>
        <v>0.5</v>
      </c>
      <c r="E63" s="112"/>
    </row>
    <row r="64" spans="2:5" ht="13.9" x14ac:dyDescent="0.4">
      <c r="B64" s="3" t="s">
        <v>243</v>
      </c>
      <c r="C64" s="59"/>
      <c r="D64" s="60">
        <v>0.4</v>
      </c>
      <c r="E64" s="112"/>
    </row>
    <row r="65" spans="2:5" ht="13.9" x14ac:dyDescent="0.4">
      <c r="B65" s="3" t="s">
        <v>66</v>
      </c>
      <c r="C65" s="59"/>
      <c r="D65" s="60">
        <v>0.1</v>
      </c>
      <c r="E65" s="221" t="s">
        <v>67</v>
      </c>
    </row>
    <row r="66" spans="2:5" ht="13.9" x14ac:dyDescent="0.4">
      <c r="B66" s="3" t="s">
        <v>68</v>
      </c>
      <c r="C66" s="59"/>
      <c r="D66" s="60">
        <v>0.2</v>
      </c>
      <c r="E66" s="221" t="s">
        <v>67</v>
      </c>
    </row>
    <row r="67" spans="2:5" ht="13.9" x14ac:dyDescent="0.4">
      <c r="B67" s="1" t="s">
        <v>45</v>
      </c>
      <c r="C67" s="59"/>
      <c r="D67" s="60">
        <f>D65</f>
        <v>0.1</v>
      </c>
      <c r="E67" s="221" t="s">
        <v>42</v>
      </c>
    </row>
    <row r="68" spans="2:5" ht="13.9" x14ac:dyDescent="0.4">
      <c r="B68" s="3" t="s">
        <v>115</v>
      </c>
      <c r="C68" s="59"/>
      <c r="D68" s="60">
        <f>D65</f>
        <v>0.1</v>
      </c>
      <c r="E68" s="112"/>
    </row>
    <row r="69" spans="2:5" ht="13.9" x14ac:dyDescent="0.4">
      <c r="B69" s="3" t="s">
        <v>69</v>
      </c>
      <c r="C69" s="59"/>
      <c r="D69" s="60">
        <f>D70</f>
        <v>0.05</v>
      </c>
      <c r="E69" s="112"/>
    </row>
    <row r="70" spans="2:5" ht="13.9" x14ac:dyDescent="0.4">
      <c r="B70" s="3" t="s">
        <v>70</v>
      </c>
      <c r="C70" s="59"/>
      <c r="D70" s="60">
        <v>0.05</v>
      </c>
      <c r="E70" s="112"/>
    </row>
    <row r="71" spans="2:5" ht="13.9" x14ac:dyDescent="0.4">
      <c r="B71" s="3" t="s">
        <v>71</v>
      </c>
      <c r="C71" s="59"/>
      <c r="D71" s="60">
        <f>D58</f>
        <v>0.9</v>
      </c>
      <c r="E71" s="112"/>
    </row>
    <row r="72" spans="2:5" ht="14.25" thickBot="1" x14ac:dyDescent="0.45">
      <c r="B72" s="246" t="s">
        <v>72</v>
      </c>
      <c r="C72" s="247"/>
      <c r="D72" s="248">
        <v>0</v>
      </c>
      <c r="E72" s="249"/>
    </row>
    <row r="73" spans="2:5" ht="13.9" x14ac:dyDescent="0.4">
      <c r="B73" s="3" t="s">
        <v>35</v>
      </c>
      <c r="C73" s="59"/>
    </row>
    <row r="74" spans="2:5" ht="13.9" x14ac:dyDescent="0.4">
      <c r="B74" s="3" t="s">
        <v>36</v>
      </c>
      <c r="C74" s="59"/>
    </row>
    <row r="75" spans="2:5" ht="13.9" x14ac:dyDescent="0.4">
      <c r="B75" s="3" t="s">
        <v>37</v>
      </c>
      <c r="C75" s="59"/>
    </row>
    <row r="76" spans="2:5" ht="13.9" x14ac:dyDescent="0.4">
      <c r="B76" s="86" t="s">
        <v>39</v>
      </c>
      <c r="C76" s="120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58</v>
      </c>
      <c r="C78" s="59"/>
    </row>
    <row r="79" spans="2:5" ht="13.9" x14ac:dyDescent="0.4">
      <c r="B79" s="3" t="s">
        <v>60</v>
      </c>
      <c r="C79" s="59"/>
    </row>
    <row r="80" spans="2:5" ht="13.9" x14ac:dyDescent="0.4">
      <c r="B80" s="3" t="s">
        <v>62</v>
      </c>
      <c r="C80" s="59"/>
    </row>
    <row r="81" spans="2:8" ht="13.9" x14ac:dyDescent="0.4">
      <c r="B81" s="86" t="s">
        <v>63</v>
      </c>
      <c r="C81" s="120"/>
    </row>
    <row r="82" spans="2:8" ht="14.25" thickBot="1" x14ac:dyDescent="0.45">
      <c r="B82" s="80" t="s">
        <v>81</v>
      </c>
      <c r="C82" s="83"/>
    </row>
    <row r="83" spans="2:8" ht="14.25" thickTop="1" x14ac:dyDescent="0.4">
      <c r="B83" s="73" t="s">
        <v>207</v>
      </c>
      <c r="C83" s="59"/>
    </row>
    <row r="84" spans="2:8" ht="13.9" x14ac:dyDescent="0.4">
      <c r="B84" s="20" t="s">
        <v>87</v>
      </c>
      <c r="C84" s="59"/>
    </row>
    <row r="85" spans="2:8" ht="13.9" x14ac:dyDescent="0.4">
      <c r="B85" s="20" t="s">
        <v>89</v>
      </c>
      <c r="C85" s="59"/>
    </row>
    <row r="86" spans="2:8" ht="13.9" x14ac:dyDescent="0.4">
      <c r="B86" s="10" t="s">
        <v>234</v>
      </c>
      <c r="C86" s="197">
        <v>5</v>
      </c>
    </row>
    <row r="87" spans="2:8" ht="13.9" x14ac:dyDescent="0.4">
      <c r="B87" s="10" t="s">
        <v>232</v>
      </c>
      <c r="C87" s="236" t="s">
        <v>271</v>
      </c>
      <c r="D87" s="269">
        <v>0.02</v>
      </c>
    </row>
    <row r="89" spans="2:8" ht="13.5" x14ac:dyDescent="0.35">
      <c r="B89" s="106" t="s">
        <v>123</v>
      </c>
      <c r="C89" s="283">
        <f>C24</f>
        <v>45291</v>
      </c>
      <c r="D89" s="283"/>
      <c r="E89" s="89" t="s">
        <v>193</v>
      </c>
      <c r="F89" s="89" t="s">
        <v>192</v>
      </c>
      <c r="H89" s="31"/>
    </row>
    <row r="90" spans="2:8" ht="13.9" x14ac:dyDescent="0.4">
      <c r="B90" s="12" t="str">
        <f>"(Numbers in "&amp;Data!C4&amp;Dashboard!G6&amp;")"</f>
        <v>(Numbers in 1000000CNY)</v>
      </c>
      <c r="C90" s="284" t="s">
        <v>97</v>
      </c>
      <c r="D90" s="284"/>
      <c r="E90" s="235" t="s">
        <v>98</v>
      </c>
      <c r="F90" s="255" t="s">
        <v>98</v>
      </c>
    </row>
    <row r="91" spans="2:8" ht="13.9" x14ac:dyDescent="0.4">
      <c r="B91" s="3" t="s">
        <v>122</v>
      </c>
      <c r="C91" s="77">
        <f>C25</f>
        <v>468444</v>
      </c>
      <c r="D91" s="209"/>
      <c r="E91" s="251">
        <f>C91</f>
        <v>468444</v>
      </c>
      <c r="F91" s="251">
        <f>C91</f>
        <v>468444</v>
      </c>
    </row>
    <row r="92" spans="2:8" ht="13.9" x14ac:dyDescent="0.4">
      <c r="B92" s="104" t="s">
        <v>102</v>
      </c>
      <c r="C92" s="77">
        <f>C26</f>
        <v>8726</v>
      </c>
      <c r="D92" s="159">
        <f>C92/C91</f>
        <v>1.8627626781429586E-2</v>
      </c>
      <c r="E92" s="252">
        <f>E91*D92</f>
        <v>8726</v>
      </c>
      <c r="F92" s="252">
        <f>F91*D92</f>
        <v>8726</v>
      </c>
    </row>
    <row r="93" spans="2:8" ht="13.9" x14ac:dyDescent="0.4">
      <c r="B93" s="104" t="s">
        <v>231</v>
      </c>
      <c r="C93" s="77">
        <f>C27+C28</f>
        <v>120991</v>
      </c>
      <c r="D93" s="159">
        <f>C93/C91</f>
        <v>0.25828274030620524</v>
      </c>
      <c r="E93" s="252">
        <f>E91*D93</f>
        <v>120991</v>
      </c>
      <c r="F93" s="252">
        <f>F91*D93</f>
        <v>120991</v>
      </c>
    </row>
    <row r="94" spans="2:8" ht="13.9" x14ac:dyDescent="0.4">
      <c r="B94" s="104" t="s">
        <v>239</v>
      </c>
      <c r="C94" s="77">
        <f>C29</f>
        <v>160941</v>
      </c>
      <c r="D94" s="159">
        <f>C94/C91</f>
        <v>0.34356507928375646</v>
      </c>
      <c r="E94" s="253"/>
      <c r="F94" s="252">
        <f>F91*D94</f>
        <v>160941</v>
      </c>
    </row>
    <row r="95" spans="2:8" ht="13.9" x14ac:dyDescent="0.4">
      <c r="B95" s="28" t="s">
        <v>230</v>
      </c>
      <c r="C95" s="77">
        <f>ABS(MAX(C33,0)-C32)</f>
        <v>0</v>
      </c>
      <c r="D95" s="159">
        <f>C95/C91</f>
        <v>0</v>
      </c>
      <c r="E95" s="252">
        <f>E91*D95</f>
        <v>0</v>
      </c>
      <c r="F95" s="252">
        <f>F91*D95</f>
        <v>0</v>
      </c>
    </row>
    <row r="96" spans="2:8" ht="13.9" x14ac:dyDescent="0.4">
      <c r="B96" s="28" t="s">
        <v>106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162</v>
      </c>
      <c r="C97" s="77">
        <f>MAX(C30,0)/(1-C16)</f>
        <v>1872</v>
      </c>
      <c r="D97" s="159">
        <f>C97/C91</f>
        <v>3.9962087250557162E-3</v>
      </c>
      <c r="E97" s="253"/>
      <c r="F97" s="252">
        <f>F91*D97</f>
        <v>1872</v>
      </c>
    </row>
    <row r="98" spans="2:7" ht="13.9" x14ac:dyDescent="0.4">
      <c r="B98" s="86" t="s">
        <v>194</v>
      </c>
      <c r="C98" s="237">
        <f>C44</f>
        <v>1.972</v>
      </c>
      <c r="D98" s="266"/>
      <c r="E98" s="254">
        <f>F98</f>
        <v>1.972</v>
      </c>
      <c r="F98" s="254">
        <f>C98</f>
        <v>1.972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tabSelected="1" zoomScaleNormal="100" workbookViewId="0">
      <selection activeCell="B20" sqref="B20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3968.HK : 招商银行</v>
      </c>
      <c r="D2" s="87"/>
      <c r="E2" s="7"/>
      <c r="F2" s="7"/>
      <c r="G2" s="86"/>
      <c r="H2" s="86"/>
    </row>
    <row r="3" spans="1:10" ht="15.75" customHeight="1" x14ac:dyDescent="0.4">
      <c r="B3" s="3" t="s">
        <v>181</v>
      </c>
      <c r="C3" s="289" t="str">
        <f>Inputs!C4</f>
        <v>3968.HK</v>
      </c>
      <c r="D3" s="290"/>
      <c r="E3" s="87"/>
      <c r="F3" s="3" t="s">
        <v>1</v>
      </c>
      <c r="G3" s="132">
        <v>37.450000000000003</v>
      </c>
      <c r="H3" s="134" t="s">
        <v>272</v>
      </c>
    </row>
    <row r="4" spans="1:10" ht="15.75" customHeight="1" x14ac:dyDescent="0.4">
      <c r="B4" s="35" t="s">
        <v>182</v>
      </c>
      <c r="C4" s="291" t="str">
        <f>Inputs!C5</f>
        <v>招商银行</v>
      </c>
      <c r="D4" s="292"/>
      <c r="E4" s="87"/>
      <c r="F4" s="3" t="s">
        <v>2</v>
      </c>
      <c r="G4" s="295">
        <f>Inputs!C10</f>
        <v>25219845601</v>
      </c>
      <c r="H4" s="295"/>
      <c r="I4" s="39"/>
    </row>
    <row r="5" spans="1:10" ht="15.75" customHeight="1" x14ac:dyDescent="0.4">
      <c r="B5" s="3" t="s">
        <v>156</v>
      </c>
      <c r="C5" s="293">
        <f>Inputs!C6</f>
        <v>45606</v>
      </c>
      <c r="D5" s="294"/>
      <c r="E5" s="34"/>
      <c r="F5" s="35" t="s">
        <v>96</v>
      </c>
      <c r="G5" s="287">
        <f>G3*G4/1000000</f>
        <v>944483.21775745007</v>
      </c>
      <c r="H5" s="287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88" t="str">
        <f>Inputs!C11</f>
        <v>CNY</v>
      </c>
      <c r="H6" s="288"/>
      <c r="I6" s="38"/>
    </row>
    <row r="7" spans="1:10" ht="15.75" customHeight="1" x14ac:dyDescent="0.4">
      <c r="B7" s="86" t="s">
        <v>179</v>
      </c>
      <c r="C7" s="187" t="str">
        <f>Inputs!C8</f>
        <v xml:space="preserve">Superior Cycl. </v>
      </c>
      <c r="D7" s="187" t="str">
        <f>Inputs!C9</f>
        <v>C0014</v>
      </c>
      <c r="E7" s="87"/>
      <c r="F7" s="35" t="s">
        <v>5</v>
      </c>
      <c r="G7" s="133">
        <v>1.0691596666971843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178</v>
      </c>
      <c r="F9" s="143" t="s">
        <v>173</v>
      </c>
    </row>
    <row r="10" spans="1:10" ht="15.75" customHeight="1" x14ac:dyDescent="0.4">
      <c r="B10" s="1" t="s">
        <v>164</v>
      </c>
      <c r="C10" s="172">
        <v>4.2000000000000003E-2</v>
      </c>
      <c r="F10" s="110" t="s">
        <v>171</v>
      </c>
    </row>
    <row r="11" spans="1:10" ht="15.75" customHeight="1" thickBot="1" x14ac:dyDescent="0.45">
      <c r="B11" s="122" t="s">
        <v>168</v>
      </c>
      <c r="C11" s="173">
        <v>5.2299999999999999E-2</v>
      </c>
      <c r="D11" s="137" t="s">
        <v>177</v>
      </c>
      <c r="F11" s="110" t="s">
        <v>166</v>
      </c>
    </row>
    <row r="12" spans="1:10" ht="15.75" customHeight="1" thickTop="1" x14ac:dyDescent="0.4">
      <c r="B12" s="87" t="s">
        <v>236</v>
      </c>
      <c r="C12" s="174">
        <v>7.4999999999999997E-2</v>
      </c>
      <c r="D12" s="172">
        <v>8.0625000000000002E-2</v>
      </c>
      <c r="F12" s="110"/>
    </row>
    <row r="13" spans="1:10" ht="15.75" customHeight="1" x14ac:dyDescent="0.4"/>
    <row r="14" spans="1:10" ht="15.75" customHeight="1" x14ac:dyDescent="0.4">
      <c r="B14" s="1" t="s">
        <v>165</v>
      </c>
      <c r="C14" s="172">
        <v>1.8100000000000002E-2</v>
      </c>
      <c r="F14" s="110" t="s">
        <v>170</v>
      </c>
    </row>
    <row r="15" spans="1:10" ht="15.75" customHeight="1" x14ac:dyDescent="0.4">
      <c r="B15" s="1" t="s">
        <v>174</v>
      </c>
      <c r="C15" s="172">
        <v>6.5000000000000002E-2</v>
      </c>
      <c r="F15" s="110" t="s">
        <v>169</v>
      </c>
    </row>
    <row r="16" spans="1:10" ht="15.75" customHeight="1" thickBot="1" x14ac:dyDescent="0.45">
      <c r="B16" s="122" t="s">
        <v>175</v>
      </c>
      <c r="C16" s="173">
        <v>0.16</v>
      </c>
      <c r="D16" s="265" t="str">
        <f>Inputs!C15</f>
        <v>CN</v>
      </c>
      <c r="F16" s="110" t="s">
        <v>167</v>
      </c>
    </row>
    <row r="17" spans="1:8" ht="15.75" customHeight="1" thickTop="1" x14ac:dyDescent="0.4">
      <c r="B17" s="87" t="s">
        <v>237</v>
      </c>
      <c r="C17" s="175">
        <v>8.6249999999999993E-2</v>
      </c>
      <c r="D17" s="176"/>
    </row>
    <row r="18" spans="1:8" ht="15.75" customHeight="1" x14ac:dyDescent="0.4"/>
    <row r="19" spans="1:8" ht="15.75" customHeight="1" thickBot="1" x14ac:dyDescent="0.45">
      <c r="B19" s="142" t="s">
        <v>262</v>
      </c>
      <c r="C19" s="135" t="s">
        <v>48</v>
      </c>
      <c r="D19" s="87"/>
      <c r="E19" s="87"/>
      <c r="F19" s="142" t="s">
        <v>199</v>
      </c>
      <c r="G19" s="87"/>
      <c r="H19" s="87"/>
    </row>
    <row r="20" spans="1:8" ht="15.75" customHeight="1" thickBot="1" x14ac:dyDescent="0.45">
      <c r="B20" s="275" t="s">
        <v>252</v>
      </c>
      <c r="C20" s="276" t="e">
        <f>C23*C22*(1/C21)</f>
        <v>#DIV/0!</v>
      </c>
      <c r="F20" s="87" t="s">
        <v>198</v>
      </c>
      <c r="G20" s="172">
        <v>0.15</v>
      </c>
    </row>
    <row r="21" spans="1:8" ht="15.75" customHeight="1" thickTop="1" x14ac:dyDescent="0.4">
      <c r="B21" s="277" t="s">
        <v>250</v>
      </c>
      <c r="C21" s="278" t="e">
        <f>Data!C55</f>
        <v>#DIV/0!</v>
      </c>
      <c r="F21" s="87"/>
      <c r="G21" s="29"/>
    </row>
    <row r="22" spans="1:8" ht="15.75" customHeight="1" x14ac:dyDescent="0.4">
      <c r="B22" s="279" t="s">
        <v>257</v>
      </c>
      <c r="C22" s="280" t="e">
        <f>Data!C50</f>
        <v>#DIV/0!</v>
      </c>
      <c r="F22" s="142" t="s">
        <v>172</v>
      </c>
    </row>
    <row r="23" spans="1:8" ht="15.75" customHeight="1" thickBot="1" x14ac:dyDescent="0.45">
      <c r="B23" s="281" t="s">
        <v>258</v>
      </c>
      <c r="C23" s="282">
        <f>Data!C13</f>
        <v>0.71909342418730948</v>
      </c>
      <c r="F23" s="140" t="s">
        <v>176</v>
      </c>
      <c r="G23" s="177" t="e">
        <f>G3/(Data!C36*Data!C4/Common_Shares*Exchange_Rate)</f>
        <v>#DIV/0!</v>
      </c>
    </row>
    <row r="24" spans="1:8" ht="15.75" customHeight="1" x14ac:dyDescent="0.4">
      <c r="B24" s="137" t="s">
        <v>259</v>
      </c>
      <c r="C24" s="171">
        <f>Fin_Analysis!I81</f>
        <v>0.34356507928375646</v>
      </c>
      <c r="F24" s="140" t="s">
        <v>241</v>
      </c>
      <c r="G24" s="268">
        <f>G3/(Fin_Analysis!H86*G7)</f>
        <v>6.6956078717313261</v>
      </c>
    </row>
    <row r="25" spans="1:8" ht="15.75" customHeight="1" x14ac:dyDescent="0.4">
      <c r="B25" s="137" t="s">
        <v>260</v>
      </c>
      <c r="C25" s="171">
        <f>Fin_Analysis!I80</f>
        <v>0</v>
      </c>
      <c r="F25" s="140" t="s">
        <v>163</v>
      </c>
      <c r="G25" s="171">
        <f>Fin_Analysis!I88</f>
        <v>0.37695340166347946</v>
      </c>
    </row>
    <row r="26" spans="1:8" ht="15.75" customHeight="1" x14ac:dyDescent="0.4">
      <c r="B26" s="138" t="s">
        <v>261</v>
      </c>
      <c r="C26" s="171">
        <f>Fin_Analysis!I80+Fin_Analysis!I82</f>
        <v>0</v>
      </c>
      <c r="F26" s="141" t="s">
        <v>180</v>
      </c>
      <c r="G26" s="178">
        <f>Fin_Analysis!H88*Exchange_Rate/G3</f>
        <v>5.6298607816471224E-2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159</v>
      </c>
      <c r="D28" s="43" t="s">
        <v>160</v>
      </c>
      <c r="E28" s="58"/>
      <c r="F28" s="53" t="s">
        <v>224</v>
      </c>
      <c r="G28" s="285" t="s">
        <v>240</v>
      </c>
      <c r="H28" s="285"/>
    </row>
    <row r="29" spans="1:8" ht="15.75" customHeight="1" x14ac:dyDescent="0.4">
      <c r="B29" s="87" t="s">
        <v>161</v>
      </c>
      <c r="C29" s="130">
        <f>IF(Fin_Analysis!C108="Profit",Fin_Analysis!D100,IF(Fin_Analysis!C108="Dividend",Fin_Analysis!D103,Fin_Analysis!D106))</f>
        <v>17.685887407485282</v>
      </c>
      <c r="D29" s="129">
        <f>G29*(1+G20)</f>
        <v>31.823359503530167</v>
      </c>
      <c r="E29" s="87"/>
      <c r="F29" s="131">
        <f>IF(Fin_Analysis!C108="Profit",Fin_Analysis!F100,IF(Fin_Analysis!C108="Dividend",Fin_Analysis!F103,Fin_Analysis!F106))</f>
        <v>20.80692636174739</v>
      </c>
      <c r="G29" s="286">
        <f>IF(Fin_Analysis!C108="Profit",Fin_Analysis!I100,IF(Fin_Analysis!C108="Dividend",Fin_Analysis!I103,Fin_Analysis!I106))</f>
        <v>27.672486524808843</v>
      </c>
      <c r="H29" s="286"/>
    </row>
    <row r="30" spans="1:8" ht="15.75" customHeight="1" x14ac:dyDescent="0.4"/>
    <row r="31" spans="1:8" ht="15.75" customHeight="1" x14ac:dyDescent="0.4">
      <c r="A31" s="5"/>
      <c r="B31" s="6" t="s">
        <v>209</v>
      </c>
      <c r="C31"/>
    </row>
    <row r="32" spans="1:8" ht="15.75" customHeight="1" x14ac:dyDescent="0.4">
      <c r="A32"/>
      <c r="B32" s="196" t="s">
        <v>210</v>
      </c>
      <c r="C32" s="224"/>
    </row>
    <row r="33" spans="1:3" ht="15.75" customHeight="1" x14ac:dyDescent="0.4">
      <c r="A33"/>
      <c r="B33" s="20" t="s">
        <v>211</v>
      </c>
      <c r="C33" s="245" t="str">
        <f>Inputs!C17</f>
        <v>Strongly agree</v>
      </c>
    </row>
    <row r="34" spans="1:3" ht="15.75" customHeight="1" x14ac:dyDescent="0.4">
      <c r="A34"/>
      <c r="B34" s="19" t="s">
        <v>212</v>
      </c>
      <c r="C34" s="225" t="e">
        <f>IF(AND(OR(Fin_Analysis!I26&lt;0.8,Fin_Analysis!I46&lt;0.6),Data!C56&lt;0.8),"Strongly disagree",
IF(AND(OR(Fin_Analysis!I26&lt;1,Fin_Analysis!I46&lt;0.8),Data!C56&lt;1),"unclear", IF(AND(OR(Fin_Analysis!I26&lt;1.4,Fin_Analysis!I46&lt;1.2),Data!C56&lt;1.4),"agree","Strongly agree")))</f>
        <v>#DIV/0!</v>
      </c>
    </row>
    <row r="35" spans="1:3" ht="15.75" customHeight="1" x14ac:dyDescent="0.4">
      <c r="A35"/>
      <c r="B35" s="196" t="s">
        <v>213</v>
      </c>
      <c r="C35" s="224"/>
    </row>
    <row r="36" spans="1:3" ht="15.75" customHeight="1" x14ac:dyDescent="0.4">
      <c r="A36"/>
      <c r="B36" s="20" t="s">
        <v>225</v>
      </c>
      <c r="C36" s="245" t="str">
        <f>Inputs!C18</f>
        <v>agree</v>
      </c>
    </row>
    <row r="37" spans="1:3" ht="15.75" customHeight="1" x14ac:dyDescent="0.4">
      <c r="A37"/>
      <c r="B37" s="20" t="s">
        <v>226</v>
      </c>
      <c r="C37" s="245" t="str">
        <f>Inputs!C19</f>
        <v>agree</v>
      </c>
    </row>
    <row r="38" spans="1:3" ht="15.75" customHeight="1" x14ac:dyDescent="0.4">
      <c r="A38"/>
      <c r="B38" s="196" t="s">
        <v>214</v>
      </c>
      <c r="C38" s="224"/>
    </row>
    <row r="39" spans="1:3" ht="15.75" customHeight="1" x14ac:dyDescent="0.4">
      <c r="A39"/>
      <c r="B39" s="19" t="s">
        <v>215</v>
      </c>
      <c r="C39" s="245" t="str">
        <f>Inputs!C20</f>
        <v>agree</v>
      </c>
    </row>
    <row r="40" spans="1:3" ht="15.75" customHeight="1" x14ac:dyDescent="0.4">
      <c r="A40"/>
      <c r="B40" s="1" t="s">
        <v>218</v>
      </c>
      <c r="C40" s="245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216</v>
      </c>
      <c r="C42"/>
    </row>
    <row r="43" spans="1:3" ht="65.650000000000006" x14ac:dyDescent="0.4">
      <c r="A43"/>
      <c r="B43" s="226" t="s">
        <v>217</v>
      </c>
      <c r="C43" s="244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2"/>
  <sheetViews>
    <sheetView showGridLines="0" zoomScaleNormal="100" workbookViewId="0">
      <pane xSplit="2" topLeftCell="C1" activePane="topRight" state="frozen"/>
      <selection activeCell="A4" sqref="A4"/>
      <selection pane="topRight" activeCell="C60" sqref="C60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186</v>
      </c>
      <c r="F2" s="119" t="s">
        <v>189</v>
      </c>
      <c r="G2" s="148" t="s">
        <v>190</v>
      </c>
      <c r="H2" s="147" t="s">
        <v>191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45291</v>
      </c>
      <c r="E3" s="146" t="s">
        <v>187</v>
      </c>
      <c r="F3" s="85" t="str">
        <f>H14</f>
        <v/>
      </c>
      <c r="G3" s="85">
        <f>C14</f>
        <v>336855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1000000</v>
      </c>
      <c r="D4" s="1" t="str">
        <f>Dashboard!G6</f>
        <v>CNY</v>
      </c>
      <c r="E4" s="146" t="s">
        <v>188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129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0">
        <f>IF(Inputs!C25=""," ",Inputs!C25)</f>
        <v>468444</v>
      </c>
      <c r="D6" s="200">
        <f>IF(Inputs!D25="","",Inputs!D25)</f>
        <v>456752</v>
      </c>
      <c r="E6" s="200" t="str">
        <f>IF(Inputs!E25="","",Inputs!E25)</f>
        <v/>
      </c>
      <c r="F6" s="200" t="str">
        <f>IF(Inputs!F25="","",Inputs!F25)</f>
        <v/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2.5598136406627559E-2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102</v>
      </c>
      <c r="C8" s="199">
        <f>IF(Inputs!C26="","",Inputs!C26)</f>
        <v>8726</v>
      </c>
      <c r="D8" s="199">
        <f>IF(Inputs!D26="","",Inputs!D26)</f>
        <v>9097</v>
      </c>
      <c r="E8" s="199" t="str">
        <f>IF(Inputs!E26="","",Inputs!E26)</f>
        <v/>
      </c>
      <c r="F8" s="199" t="str">
        <f>IF(Inputs!F26="","",Inputs!F26)</f>
        <v/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99</v>
      </c>
      <c r="C9" s="151">
        <f t="shared" ref="C9:M9" si="2">IF(C6="","",(C6-C8))</f>
        <v>459718</v>
      </c>
      <c r="D9" s="151">
        <f t="shared" si="2"/>
        <v>447655</v>
      </c>
      <c r="E9" s="151" t="str">
        <f t="shared" si="2"/>
        <v/>
      </c>
      <c r="F9" s="151" t="str">
        <f t="shared" si="2"/>
        <v/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100</v>
      </c>
      <c r="C10" s="199">
        <f>IF(Inputs!C27="","",Inputs!C27)</f>
        <v>120991</v>
      </c>
      <c r="D10" s="199">
        <f>IF(Inputs!D27="","",Inputs!D27)</f>
        <v>122061</v>
      </c>
      <c r="E10" s="199" t="str">
        <f>IF(Inputs!E27="","",Inputs!E27)</f>
        <v/>
      </c>
      <c r="F10" s="199" t="str">
        <f>IF(Inputs!F27="","",Inputs!F27)</f>
        <v/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103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227</v>
      </c>
      <c r="C12" s="199">
        <f>IF(Inputs!C30="","",MAX(Inputs!C30,0)/(1-Fin_Analysis!$I$84))</f>
        <v>1872</v>
      </c>
      <c r="D12" s="199">
        <f>IF(Inputs!D30="","",MAX(Inputs!D30,0)/(1-Fin_Analysis!$I$84))</f>
        <v>1709.3333333333333</v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228</v>
      </c>
      <c r="C13" s="229">
        <f t="shared" ref="C13:M13" si="3">IF(C14="","",C14/C6)</f>
        <v>0.71909342418730948</v>
      </c>
      <c r="D13" s="229">
        <f t="shared" si="3"/>
        <v>0.70910399224670428</v>
      </c>
      <c r="E13" s="229" t="str">
        <f t="shared" si="3"/>
        <v/>
      </c>
      <c r="F13" s="229" t="str">
        <f t="shared" si="3"/>
        <v/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220</v>
      </c>
      <c r="C14" s="230">
        <f>IF(C6="","",C9-C10-MAX(C11,0)-MAX(C12,0))</f>
        <v>336855</v>
      </c>
      <c r="D14" s="230">
        <f t="shared" ref="D14:M14" si="4">IF(D6="","",D9-D10-MAX(D11,0)-MAX(D12,0))</f>
        <v>323884.66666666669</v>
      </c>
      <c r="E14" s="230" t="str">
        <f t="shared" si="4"/>
        <v/>
      </c>
      <c r="F14" s="230" t="str">
        <f t="shared" si="4"/>
        <v/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229</v>
      </c>
      <c r="C15" s="232">
        <f>IF(D14="","",IF(ABS(C14+D14)=ABS(C14)+ABS(D14),IF(C14&lt;0,-1,1)*(C14-D14)/D14,"Turn"))</f>
        <v>4.0046148114452201E-2</v>
      </c>
      <c r="D15" s="232" t="str">
        <f t="shared" ref="D15:M15" si="5">IF(E14="","",IF(ABS(D14+E14)=ABS(D14)+ABS(E14),IF(D14&lt;0,-1,1)*(D14-E14)/E14,"Turn"))</f>
        <v/>
      </c>
      <c r="E15" s="232" t="str">
        <f t="shared" si="5"/>
        <v/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106</v>
      </c>
      <c r="C16" s="199" t="str">
        <f>IF(Inputs!C31="","",Inputs!C31)</f>
        <v/>
      </c>
      <c r="D16" s="199" t="str">
        <f>IF(Inputs!D31="","",Inputs!D31)</f>
        <v/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239</v>
      </c>
      <c r="C17" s="199">
        <f>IF(Inputs!C29="","",Inputs!C29)</f>
        <v>160941</v>
      </c>
      <c r="D17" s="199">
        <f>IF(Inputs!D29="","",Inputs!D29)</f>
        <v>135145</v>
      </c>
      <c r="E17" s="199" t="str">
        <f>IF(Inputs!E29="","",Inputs!E29)</f>
        <v/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95</v>
      </c>
      <c r="C18" s="152" t="str">
        <f t="shared" ref="C18:M18" si="6">IF(OR(C6="",C19=""),"",C19/C6)</f>
        <v/>
      </c>
      <c r="D18" s="152" t="str">
        <f t="shared" si="6"/>
        <v/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101</v>
      </c>
      <c r="C19" s="199" t="str">
        <f>IF(Inputs!C32="","",Inputs!C32)</f>
        <v/>
      </c>
      <c r="D19" s="199" t="str">
        <f>IF(Inputs!D32="","",Inputs!D32)</f>
        <v/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222</v>
      </c>
      <c r="C20" s="152">
        <f t="shared" ref="C20:M20" si="7">IF(C6="","",MAX(C21,0)/C6)</f>
        <v>0</v>
      </c>
      <c r="D20" s="152">
        <f t="shared" si="7"/>
        <v>0</v>
      </c>
      <c r="E20" s="152" t="str">
        <f t="shared" si="7"/>
        <v/>
      </c>
      <c r="F20" s="152" t="str">
        <f t="shared" si="7"/>
        <v/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104</v>
      </c>
      <c r="C21" s="199" t="str">
        <f>IF(Inputs!C33="","",Inputs!C33)</f>
        <v/>
      </c>
      <c r="D21" s="199" t="str">
        <f>IF(Inputs!D33="","",Inputs!D33)</f>
        <v/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108</v>
      </c>
      <c r="C22" s="161">
        <f>IF(C6="","",C14-MAX(C16,0)-MAX(C17,0)-ABS(MAX(C21,0)-MAX(C19,0)))</f>
        <v>175914</v>
      </c>
      <c r="D22" s="161">
        <f t="shared" ref="D22:M22" si="8">IF(D6="","",D14-MAX(D16,0)-MAX(D17,0)-ABS(MAX(D21,0)-MAX(D19,0)))</f>
        <v>188739.66666666669</v>
      </c>
      <c r="E22" s="161" t="str">
        <f t="shared" si="8"/>
        <v/>
      </c>
      <c r="F22" s="161" t="str">
        <f t="shared" si="8"/>
        <v/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109</v>
      </c>
      <c r="C23" s="153">
        <f t="shared" ref="C23:M23" si="9">IF(C6="","",C24/C6)</f>
        <v>0.2816462586776648</v>
      </c>
      <c r="D23" s="153">
        <f t="shared" si="9"/>
        <v>0.30991599379969875</v>
      </c>
      <c r="E23" s="153" t="str">
        <f t="shared" si="9"/>
        <v/>
      </c>
      <c r="F23" s="153" t="str">
        <f t="shared" si="9"/>
        <v/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110</v>
      </c>
      <c r="C24" s="154">
        <f>IF(C6="","",C22*(1-Fin_Analysis!$I$84))</f>
        <v>131935.5</v>
      </c>
      <c r="D24" s="77">
        <f>IF(D6="","",D22*(1-Fin_Analysis!$I$84))</f>
        <v>141554.75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124</v>
      </c>
      <c r="C25" s="233">
        <f>IF(D24="","",IF(ABS(C24+D24)=ABS(C24)+ABS(D24),IF(C24&lt;0,-1,1)*(C24-D24)/D24,"Turn"))</f>
        <v>-6.7954272110261227E-2</v>
      </c>
      <c r="D25" s="233" t="str">
        <f t="shared" ref="D25:M25" si="10">IF(E24="","",IF(ABS(D24+E24)=ABS(D24)+ABS(E24),IF(D24&lt;0,-1,1)*(D24-E24)/E24,"Turn"))</f>
        <v/>
      </c>
      <c r="E25" s="233" t="str">
        <f t="shared" si="10"/>
        <v/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130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0</v>
      </c>
      <c r="D28" s="199" t="str">
        <f>IF(Inputs!D34="","",Inputs!D34)</f>
        <v/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113</v>
      </c>
      <c r="C29" s="65">
        <f>Fin_Analysis!C13</f>
        <v>0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142</v>
      </c>
      <c r="C30" s="65">
        <f>Fin_Analysis!C18</f>
        <v>0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0</v>
      </c>
      <c r="D31" s="199" t="str">
        <f>IF(Inputs!D37="","",Inputs!D37)</f>
        <v/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112</v>
      </c>
      <c r="C32" s="65">
        <f>Fin_Analysis!I48</f>
        <v>0</v>
      </c>
      <c r="D32" s="199" t="str">
        <f>IF(Inputs!D38="","",Inputs!D38)</f>
        <v/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0</v>
      </c>
      <c r="D33" s="199" t="str">
        <f>IF(Inputs!D39="","",Inputs!D39)</f>
        <v/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0</v>
      </c>
      <c r="D34" s="199" t="str">
        <f>IF(Inputs!D40="","",Inputs!D40)</f>
        <v/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133</v>
      </c>
      <c r="C36" s="65">
        <f>Fin_Analysis!D3</f>
        <v>0</v>
      </c>
      <c r="D36" s="199" t="str">
        <f>IF(Inputs!D41="","",Inputs!D41)</f>
        <v/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134</v>
      </c>
      <c r="C37" s="65">
        <f>Fin_Analysis!D4</f>
        <v>0</v>
      </c>
      <c r="D37" s="199" t="str">
        <f>IF(Inputs!D42="","",Inputs!D42)</f>
        <v/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132</v>
      </c>
      <c r="C38" s="65">
        <f>Fin_Analysis!C63</f>
        <v>0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136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150</v>
      </c>
      <c r="C40" s="155" t="e">
        <f>IF(C6="","",C14/MAX(C39,0))</f>
        <v>#DIV/0!</v>
      </c>
      <c r="D40" s="155" t="e">
        <f>IF(D6="","",D14/MAX(D39,0))</f>
        <v>#DIV/0!</v>
      </c>
      <c r="E40" s="155" t="str">
        <f>IF(E6="","",E14/MAX(E39,0))</f>
        <v/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247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94</v>
      </c>
      <c r="C42" s="156">
        <f t="shared" ref="C42:M42" si="34">IF(C6="","",C8/C6)</f>
        <v>1.8627626781429586E-2</v>
      </c>
      <c r="D42" s="156">
        <f t="shared" si="34"/>
        <v>1.9916716292430029E-2</v>
      </c>
      <c r="E42" s="156" t="str">
        <f t="shared" si="34"/>
        <v/>
      </c>
      <c r="F42" s="156" t="str">
        <f t="shared" si="34"/>
        <v/>
      </c>
      <c r="G42" s="156" t="str">
        <f t="shared" si="34"/>
        <v/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221</v>
      </c>
      <c r="C43" s="153">
        <f t="shared" ref="C43:M43" si="35">IF(C6="","",(C10+MAX(C11,0))/C6)</f>
        <v>0.25828274030620524</v>
      </c>
      <c r="D43" s="153">
        <f t="shared" si="35"/>
        <v>0.26723692507093566</v>
      </c>
      <c r="E43" s="153" t="str">
        <f t="shared" si="35"/>
        <v/>
      </c>
      <c r="F43" s="153" t="str">
        <f t="shared" si="35"/>
        <v/>
      </c>
      <c r="G43" s="153" t="str">
        <f t="shared" si="35"/>
        <v/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105</v>
      </c>
      <c r="C44" s="153">
        <f t="shared" ref="C44:M44" si="36">IF(C6="","",MAX(C16,0)/C6)</f>
        <v>0</v>
      </c>
      <c r="D44" s="153">
        <f t="shared" si="36"/>
        <v>0</v>
      </c>
      <c r="E44" s="153" t="str">
        <f t="shared" si="36"/>
        <v/>
      </c>
      <c r="F44" s="153" t="str">
        <f t="shared" si="36"/>
        <v/>
      </c>
      <c r="G44" s="153" t="str">
        <f t="shared" si="36"/>
        <v/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118</v>
      </c>
      <c r="C45" s="153">
        <f t="shared" ref="C45:M45" si="37">IF(C6="","",MAX(C17,0)/C6)</f>
        <v>0.34356507928375646</v>
      </c>
      <c r="D45" s="153">
        <f t="shared" si="37"/>
        <v>0.29588266718043926</v>
      </c>
      <c r="E45" s="153" t="str">
        <f t="shared" si="37"/>
        <v/>
      </c>
      <c r="F45" s="153" t="str">
        <f t="shared" si="37"/>
        <v/>
      </c>
      <c r="G45" s="153" t="str">
        <f t="shared" si="37"/>
        <v/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125</v>
      </c>
      <c r="C46" s="153">
        <f>IF(C6="","",MAX(C12,0)/C6)</f>
        <v>3.9962087250557162E-3</v>
      </c>
      <c r="D46" s="153">
        <f t="shared" ref="D46:M46" si="38">IF(D6="","",MAX(D12,0)/D6)</f>
        <v>3.7423663899300566E-3</v>
      </c>
      <c r="E46" s="153" t="str">
        <f t="shared" si="38"/>
        <v/>
      </c>
      <c r="F46" s="153" t="str">
        <f t="shared" si="38"/>
        <v/>
      </c>
      <c r="G46" s="153" t="str">
        <f t="shared" si="38"/>
        <v/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223</v>
      </c>
      <c r="C47" s="153">
        <f>IF(C6="","",ABS(MAX(C21,0)-MAX(C19,0))/C6)</f>
        <v>0</v>
      </c>
      <c r="D47" s="153">
        <f t="shared" ref="D47:M47" si="39">IF(D6="","",ABS(MAX(D21,0)-MAX(D19,0))/D6)</f>
        <v>0</v>
      </c>
      <c r="E47" s="153" t="str">
        <f t="shared" si="39"/>
        <v/>
      </c>
      <c r="F47" s="153" t="str">
        <f t="shared" si="39"/>
        <v/>
      </c>
      <c r="G47" s="153" t="str">
        <f t="shared" si="39"/>
        <v/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120</v>
      </c>
      <c r="C48" s="153">
        <f t="shared" ref="C48:M48" si="40">IF(C6="","",C22/C6)</f>
        <v>0.37552834490355302</v>
      </c>
      <c r="D48" s="153">
        <f t="shared" si="40"/>
        <v>0.41322132506626502</v>
      </c>
      <c r="E48" s="153" t="str">
        <f t="shared" si="40"/>
        <v/>
      </c>
      <c r="F48" s="153" t="str">
        <f t="shared" si="40"/>
        <v/>
      </c>
      <c r="G48" s="153" t="str">
        <f t="shared" si="40"/>
        <v/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248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271" t="s">
        <v>254</v>
      </c>
      <c r="C50" s="272" t="e">
        <f>IF(C6="","",C6/C27)</f>
        <v>#DIV/0!</v>
      </c>
      <c r="D50" s="272" t="e">
        <f t="shared" ref="D50:M50" si="41">IF(D6="","",D6/D27)</f>
        <v>#VALUE!</v>
      </c>
      <c r="E50" s="272" t="str">
        <f t="shared" si="41"/>
        <v/>
      </c>
      <c r="F50" s="272" t="str">
        <f t="shared" si="41"/>
        <v/>
      </c>
      <c r="G50" s="272" t="str">
        <f t="shared" si="41"/>
        <v/>
      </c>
      <c r="H50" s="272" t="str">
        <f t="shared" si="41"/>
        <v/>
      </c>
      <c r="I50" s="272" t="str">
        <f t="shared" si="41"/>
        <v/>
      </c>
      <c r="J50" s="272" t="str">
        <f t="shared" si="41"/>
        <v/>
      </c>
      <c r="K50" s="272" t="str">
        <f t="shared" si="41"/>
        <v/>
      </c>
      <c r="L50" s="272" t="str">
        <f t="shared" si="41"/>
        <v/>
      </c>
      <c r="M50" s="272" t="str">
        <f t="shared" si="41"/>
        <v/>
      </c>
      <c r="N50" s="87"/>
    </row>
    <row r="51" spans="1:14" ht="15.75" customHeight="1" x14ac:dyDescent="0.4">
      <c r="A51" s="4"/>
      <c r="B51" s="94" t="s">
        <v>255</v>
      </c>
      <c r="C51" s="153">
        <f t="shared" ref="C51:M51" si="42">IF(C29="","",C29/C6)</f>
        <v>0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4"/>
      <c r="B52" s="94" t="s">
        <v>256</v>
      </c>
      <c r="C52" s="153">
        <f t="shared" ref="C52:M52" si="43">IF(C30="","",C30/C6)</f>
        <v>0</v>
      </c>
      <c r="D52" s="153" t="str">
        <f t="shared" si="43"/>
        <v/>
      </c>
      <c r="E52" s="153" t="str">
        <f t="shared" si="43"/>
        <v/>
      </c>
      <c r="F52" s="153" t="str">
        <f t="shared" si="43"/>
        <v/>
      </c>
      <c r="G52" s="153" t="str">
        <f t="shared" si="43"/>
        <v/>
      </c>
      <c r="H52" s="153" t="str">
        <f t="shared" si="43"/>
        <v/>
      </c>
      <c r="I52" s="153" t="str">
        <f t="shared" si="43"/>
        <v/>
      </c>
      <c r="J52" s="153" t="str">
        <f t="shared" si="43"/>
        <v/>
      </c>
      <c r="K52" s="153" t="str">
        <f t="shared" si="43"/>
        <v/>
      </c>
      <c r="L52" s="153" t="str">
        <f t="shared" si="43"/>
        <v/>
      </c>
      <c r="M52" s="153" t="str">
        <f t="shared" si="43"/>
        <v/>
      </c>
      <c r="N52" s="87"/>
    </row>
    <row r="53" spans="1:14" ht="15.75" customHeight="1" x14ac:dyDescent="0.4">
      <c r="A53" s="4"/>
      <c r="B53" s="94" t="s">
        <v>245</v>
      </c>
      <c r="C53" s="153" t="e">
        <f>IF(D6="","",C16/(C6-D6))</f>
        <v>#VALUE!</v>
      </c>
      <c r="D53" s="153" t="str">
        <f t="shared" ref="D53:M53" si="44">IF(E6="","",D16/(D6-E6))</f>
        <v/>
      </c>
      <c r="E53" s="153" t="str">
        <f t="shared" si="44"/>
        <v/>
      </c>
      <c r="F53" s="153" t="str">
        <f t="shared" si="44"/>
        <v/>
      </c>
      <c r="G53" s="153" t="str">
        <f t="shared" si="44"/>
        <v/>
      </c>
      <c r="H53" s="153" t="str">
        <f t="shared" si="44"/>
        <v/>
      </c>
      <c r="I53" s="153" t="str">
        <f t="shared" si="44"/>
        <v/>
      </c>
      <c r="J53" s="153" t="str">
        <f t="shared" si="44"/>
        <v/>
      </c>
      <c r="K53" s="153" t="str">
        <f t="shared" si="44"/>
        <v/>
      </c>
      <c r="L53" s="153" t="str">
        <f t="shared" si="44"/>
        <v/>
      </c>
      <c r="M53" s="153" t="str">
        <f t="shared" si="44"/>
        <v/>
      </c>
      <c r="N53" s="87"/>
    </row>
    <row r="54" spans="1:14" ht="15.75" customHeight="1" x14ac:dyDescent="0.4">
      <c r="A54" s="16"/>
      <c r="B54" s="102" t="s">
        <v>249</v>
      </c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</row>
    <row r="55" spans="1:14" ht="15.75" customHeight="1" x14ac:dyDescent="0.4">
      <c r="A55" s="4"/>
      <c r="B55" s="95" t="s">
        <v>250</v>
      </c>
      <c r="C55" s="156" t="e">
        <f>IF(C36="","",(C36-C37)/C27)</f>
        <v>#DIV/0!</v>
      </c>
      <c r="D55" s="156" t="str">
        <f t="shared" ref="D55:M55" si="45">IF(D36="","",(D36-D37)/D27)</f>
        <v/>
      </c>
      <c r="E55" s="156" t="str">
        <f t="shared" si="45"/>
        <v/>
      </c>
      <c r="F55" s="156" t="str">
        <f t="shared" si="45"/>
        <v/>
      </c>
      <c r="G55" s="156" t="str">
        <f t="shared" si="45"/>
        <v/>
      </c>
      <c r="H55" s="156" t="str">
        <f t="shared" si="45"/>
        <v/>
      </c>
      <c r="I55" s="156" t="str">
        <f t="shared" si="45"/>
        <v/>
      </c>
      <c r="J55" s="156" t="str">
        <f t="shared" si="45"/>
        <v/>
      </c>
      <c r="K55" s="156" t="str">
        <f t="shared" si="45"/>
        <v/>
      </c>
      <c r="L55" s="156" t="str">
        <f t="shared" si="45"/>
        <v/>
      </c>
      <c r="M55" s="156" t="str">
        <f t="shared" si="45"/>
        <v/>
      </c>
    </row>
    <row r="56" spans="1:14" ht="15.75" customHeight="1" x14ac:dyDescent="0.4">
      <c r="A56" s="4"/>
      <c r="B56" s="94" t="s">
        <v>117</v>
      </c>
      <c r="C56" s="157" t="str">
        <f t="shared" ref="C56:M56" si="46">IF(OR(C22="",C35=""),"",IF(C35&lt;=0,"-",C22/C35))</f>
        <v>-</v>
      </c>
      <c r="D56" s="157" t="str">
        <f t="shared" si="46"/>
        <v/>
      </c>
      <c r="E56" s="157" t="str">
        <f t="shared" si="46"/>
        <v/>
      </c>
      <c r="F56" s="157" t="str">
        <f t="shared" si="46"/>
        <v/>
      </c>
      <c r="G56" s="157" t="str">
        <f t="shared" si="46"/>
        <v/>
      </c>
      <c r="H56" s="157" t="str">
        <f t="shared" si="46"/>
        <v/>
      </c>
      <c r="I56" s="157" t="str">
        <f t="shared" si="46"/>
        <v/>
      </c>
      <c r="J56" s="157" t="str">
        <f t="shared" si="46"/>
        <v/>
      </c>
      <c r="K56" s="157" t="str">
        <f t="shared" si="46"/>
        <v/>
      </c>
      <c r="L56" s="157" t="str">
        <f t="shared" si="46"/>
        <v/>
      </c>
      <c r="M56" s="157" t="str">
        <f t="shared" si="46"/>
        <v/>
      </c>
    </row>
    <row r="57" spans="1:14" ht="15.75" customHeight="1" x14ac:dyDescent="0.4">
      <c r="A57" s="4"/>
      <c r="B57" s="94" t="s">
        <v>119</v>
      </c>
      <c r="C57" s="153">
        <f t="shared" ref="C57:M57" si="47">IF(C22="","",IF(MAX(C17,0)&lt;=0,"-",C17/C22))</f>
        <v>0.91488454585763501</v>
      </c>
      <c r="D57" s="153">
        <f t="shared" si="47"/>
        <v>0.71603920038006486</v>
      </c>
      <c r="E57" s="153" t="str">
        <f t="shared" si="47"/>
        <v/>
      </c>
      <c r="F57" s="153" t="str">
        <f t="shared" si="47"/>
        <v/>
      </c>
      <c r="G57" s="153" t="str">
        <f t="shared" si="47"/>
        <v/>
      </c>
      <c r="H57" s="153" t="str">
        <f t="shared" si="47"/>
        <v/>
      </c>
      <c r="I57" s="153" t="str">
        <f t="shared" si="47"/>
        <v/>
      </c>
      <c r="J57" s="153" t="str">
        <f t="shared" si="47"/>
        <v/>
      </c>
      <c r="K57" s="153" t="str">
        <f t="shared" si="47"/>
        <v/>
      </c>
      <c r="L57" s="153" t="str">
        <f t="shared" si="47"/>
        <v/>
      </c>
      <c r="M57" s="153" t="str">
        <f t="shared" si="47"/>
        <v/>
      </c>
    </row>
    <row r="58" spans="1:14" ht="15.75" customHeight="1" x14ac:dyDescent="0.4">
      <c r="A58" s="4"/>
      <c r="B58" s="98" t="s">
        <v>19</v>
      </c>
      <c r="C58" s="158" t="e">
        <f t="shared" ref="C58:M58" si="48">IF(C28="","",C28/C31)</f>
        <v>#DIV/0!</v>
      </c>
      <c r="D58" s="158" t="str">
        <f t="shared" si="48"/>
        <v/>
      </c>
      <c r="E58" s="158" t="str">
        <f t="shared" si="48"/>
        <v/>
      </c>
      <c r="F58" s="158" t="str">
        <f t="shared" si="48"/>
        <v/>
      </c>
      <c r="G58" s="158" t="str">
        <f t="shared" si="48"/>
        <v/>
      </c>
      <c r="H58" s="158" t="str">
        <f t="shared" si="48"/>
        <v/>
      </c>
      <c r="I58" s="158" t="str">
        <f t="shared" si="48"/>
        <v/>
      </c>
      <c r="J58" s="158" t="str">
        <f t="shared" si="48"/>
        <v/>
      </c>
      <c r="K58" s="158" t="str">
        <f t="shared" si="48"/>
        <v/>
      </c>
      <c r="L58" s="158" t="str">
        <f t="shared" si="48"/>
        <v/>
      </c>
      <c r="M58" s="158" t="str">
        <f t="shared" si="48"/>
        <v/>
      </c>
    </row>
    <row r="59" spans="1:14" ht="15.75" customHeight="1" x14ac:dyDescent="0.4">
      <c r="A59" s="16"/>
      <c r="B59" s="102" t="s">
        <v>251</v>
      </c>
      <c r="C59" s="273" t="str">
        <f>IFERROR(IF(C13*C50*(1/C55)=C60,"","Error"),"")</f>
        <v/>
      </c>
      <c r="D59" s="273" t="str">
        <f t="shared" ref="D59:M59" si="49">IFERROR(IF(D13*D50*(1/D55)=D60,"","Error"),"")</f>
        <v/>
      </c>
      <c r="E59" s="273" t="str">
        <f t="shared" si="49"/>
        <v/>
      </c>
      <c r="F59" s="273" t="str">
        <f t="shared" si="49"/>
        <v/>
      </c>
      <c r="G59" s="273" t="str">
        <f t="shared" si="49"/>
        <v/>
      </c>
      <c r="H59" s="273" t="str">
        <f t="shared" si="49"/>
        <v/>
      </c>
      <c r="I59" s="273" t="str">
        <f t="shared" si="49"/>
        <v/>
      </c>
      <c r="J59" s="273" t="str">
        <f t="shared" si="49"/>
        <v/>
      </c>
      <c r="K59" s="273" t="str">
        <f t="shared" si="49"/>
        <v/>
      </c>
      <c r="L59" s="273" t="str">
        <f t="shared" si="49"/>
        <v/>
      </c>
      <c r="M59" s="273" t="str">
        <f t="shared" si="49"/>
        <v/>
      </c>
    </row>
    <row r="60" spans="1:14" ht="15.75" customHeight="1" x14ac:dyDescent="0.4">
      <c r="A60" s="4"/>
      <c r="B60" s="271" t="s">
        <v>252</v>
      </c>
      <c r="C60" s="274" t="e">
        <f>IF(C14="","",C14/(C36-C37))</f>
        <v>#DIV/0!</v>
      </c>
      <c r="D60" s="274" t="e">
        <f t="shared" ref="D60:M60" si="50">IF(D14="","",D14/(D36-D37))</f>
        <v>#VALUE!</v>
      </c>
      <c r="E60" s="274" t="str">
        <f t="shared" si="50"/>
        <v/>
      </c>
      <c r="F60" s="274" t="str">
        <f t="shared" si="50"/>
        <v/>
      </c>
      <c r="G60" s="274" t="str">
        <f t="shared" si="50"/>
        <v/>
      </c>
      <c r="H60" s="274" t="str">
        <f t="shared" si="50"/>
        <v/>
      </c>
      <c r="I60" s="274" t="str">
        <f t="shared" si="50"/>
        <v/>
      </c>
      <c r="J60" s="274" t="str">
        <f t="shared" si="50"/>
        <v/>
      </c>
      <c r="K60" s="274" t="str">
        <f t="shared" si="50"/>
        <v/>
      </c>
      <c r="L60" s="274" t="str">
        <f t="shared" si="50"/>
        <v/>
      </c>
      <c r="M60" s="274" t="str">
        <f t="shared" si="50"/>
        <v/>
      </c>
    </row>
    <row r="61" spans="1:14" ht="15.75" customHeight="1" x14ac:dyDescent="0.4">
      <c r="A61" s="4"/>
      <c r="B61" s="271" t="s">
        <v>253</v>
      </c>
      <c r="C61" s="274" t="e">
        <f>IF(C22="","",C22/(C36-C37))</f>
        <v>#DIV/0!</v>
      </c>
      <c r="D61" s="274" t="e">
        <f t="shared" ref="D61:M61" si="51">IF(D22="","",D22/(D36-D37))</f>
        <v>#VALUE!</v>
      </c>
      <c r="E61" s="274" t="str">
        <f t="shared" si="51"/>
        <v/>
      </c>
      <c r="F61" s="274" t="str">
        <f t="shared" si="51"/>
        <v/>
      </c>
      <c r="G61" s="274" t="str">
        <f t="shared" si="51"/>
        <v/>
      </c>
      <c r="H61" s="274" t="str">
        <f t="shared" si="51"/>
        <v/>
      </c>
      <c r="I61" s="274" t="str">
        <f t="shared" si="51"/>
        <v/>
      </c>
      <c r="J61" s="274" t="str">
        <f t="shared" si="51"/>
        <v/>
      </c>
      <c r="K61" s="274" t="str">
        <f t="shared" si="51"/>
        <v/>
      </c>
      <c r="L61" s="274" t="str">
        <f t="shared" si="51"/>
        <v/>
      </c>
      <c r="M61" s="274" t="str">
        <f t="shared" si="51"/>
        <v/>
      </c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>
      <c r="A248" s="4"/>
    </row>
    <row r="249" spans="1:1" ht="15.75" customHeight="1" x14ac:dyDescent="0.4">
      <c r="A249" s="4"/>
    </row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  <row r="931" ht="15.75" customHeight="1" x14ac:dyDescent="0.4"/>
    <row r="932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78" zoomScaleNormal="100" workbookViewId="0">
      <selection activeCell="E82" sqref="E8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20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21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22</v>
      </c>
      <c r="I3" s="204">
        <f>Inputs!C83</f>
        <v>0</v>
      </c>
      <c r="K3" s="24"/>
    </row>
    <row r="4" spans="1:11" ht="15" customHeight="1" x14ac:dyDescent="0.4">
      <c r="B4" s="3" t="s">
        <v>23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24</v>
      </c>
      <c r="H5" s="1" t="s">
        <v>25</v>
      </c>
      <c r="I5" s="63" t="e">
        <f>C28/I28</f>
        <v>#DIV/0!</v>
      </c>
      <c r="K5" s="24"/>
    </row>
    <row r="6" spans="1:11" ht="15" customHeight="1" thickBot="1" x14ac:dyDescent="0.45">
      <c r="B6" s="20" t="str">
        <f>"Adj. Net Asset in "&amp;Dashboard!G6</f>
        <v>Adj. Net Asset in CNY</v>
      </c>
      <c r="C6" s="87"/>
      <c r="D6" s="69">
        <f>(E49-I49-E53)</f>
        <v>0</v>
      </c>
      <c r="E6" s="56" t="e">
        <f>1-D6/D3</f>
        <v>#DIV/0!</v>
      </c>
      <c r="F6" s="87"/>
      <c r="G6" s="87"/>
      <c r="H6" s="1" t="s">
        <v>26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tr">
        <f>"Adj. Net Asset per Shares in "&amp;Dashboard!H3</f>
        <v>Adj. Net Asset per Shares in HKD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27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28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29</v>
      </c>
      <c r="C10" s="74" t="s">
        <v>30</v>
      </c>
      <c r="D10" s="74" t="s">
        <v>183</v>
      </c>
      <c r="E10" s="74" t="s">
        <v>31</v>
      </c>
      <c r="F10" s="111" t="s">
        <v>32</v>
      </c>
      <c r="G10" s="87"/>
      <c r="H10" s="22" t="s">
        <v>33</v>
      </c>
      <c r="I10" s="74" t="s">
        <v>30</v>
      </c>
      <c r="K10" s="24"/>
    </row>
    <row r="11" spans="1:11" ht="15" customHeight="1" x14ac:dyDescent="0.4">
      <c r="B11" s="3" t="s">
        <v>34</v>
      </c>
      <c r="C11" s="40">
        <f>Inputs!C48</f>
        <v>0</v>
      </c>
      <c r="D11" s="198">
        <f>Inputs!D48</f>
        <v>0.9</v>
      </c>
      <c r="E11" s="88">
        <f t="shared" ref="E11:E22" si="0">C11*D11</f>
        <v>0</v>
      </c>
      <c r="F11" s="112"/>
      <c r="G11" s="87"/>
      <c r="H11" s="3" t="s">
        <v>35</v>
      </c>
      <c r="I11" s="40">
        <f>Inputs!C73</f>
        <v>0</v>
      </c>
      <c r="J11" s="87"/>
      <c r="K11" s="24"/>
    </row>
    <row r="12" spans="1:11" ht="13.9" x14ac:dyDescent="0.4">
      <c r="B12" s="1" t="s">
        <v>131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36</v>
      </c>
      <c r="I12" s="40">
        <f>Inputs!C74</f>
        <v>0</v>
      </c>
      <c r="J12" s="87"/>
      <c r="K12" s="24"/>
    </row>
    <row r="13" spans="1:11" ht="13.9" x14ac:dyDescent="0.4">
      <c r="B13" s="3" t="s">
        <v>113</v>
      </c>
      <c r="C13" s="40">
        <f>Inputs!C50</f>
        <v>0</v>
      </c>
      <c r="D13" s="198">
        <f>Inputs!D50</f>
        <v>0.6</v>
      </c>
      <c r="E13" s="88">
        <f t="shared" si="0"/>
        <v>0</v>
      </c>
      <c r="F13" s="112"/>
      <c r="G13" s="87"/>
      <c r="H13" s="3" t="s">
        <v>37</v>
      </c>
      <c r="I13" s="40">
        <f>Inputs!C75</f>
        <v>0</v>
      </c>
      <c r="J13" s="87"/>
      <c r="K13" s="26"/>
    </row>
    <row r="14" spans="1:11" ht="13.9" x14ac:dyDescent="0.4">
      <c r="B14" s="3" t="s">
        <v>38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39</v>
      </c>
      <c r="I14" s="205">
        <f>Inputs!C76</f>
        <v>0</v>
      </c>
      <c r="J14" s="87"/>
      <c r="K14" s="27"/>
    </row>
    <row r="15" spans="1:11" ht="13.9" x14ac:dyDescent="0.4">
      <c r="B15" s="3" t="s">
        <v>40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50</v>
      </c>
      <c r="I15" s="84">
        <f>SUM(I11:I14)</f>
        <v>0</v>
      </c>
      <c r="J15" s="87"/>
    </row>
    <row r="16" spans="1:11" ht="13.9" x14ac:dyDescent="0.4">
      <c r="B16" s="1" t="s">
        <v>151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114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43</v>
      </c>
      <c r="C18" s="40">
        <f>Inputs!C55</f>
        <v>0</v>
      </c>
      <c r="D18" s="198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44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116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46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47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41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48</v>
      </c>
      <c r="G23" s="87"/>
    </row>
    <row r="24" spans="2:10" ht="15" customHeight="1" x14ac:dyDescent="0.4">
      <c r="B24" s="23" t="s">
        <v>49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51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52</v>
      </c>
      <c r="I25" s="63" t="e">
        <f>E28/I28</f>
        <v>#DIV/0!</v>
      </c>
    </row>
    <row r="26" spans="2:10" ht="15" customHeight="1" x14ac:dyDescent="0.4">
      <c r="B26" s="23" t="s">
        <v>53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54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55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56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6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32</v>
      </c>
      <c r="G29" s="87"/>
      <c r="H29" s="87"/>
      <c r="I29" s="87"/>
      <c r="J29" s="87"/>
    </row>
    <row r="30" spans="2:10" ht="15" customHeight="1" x14ac:dyDescent="0.4">
      <c r="B30" s="3" t="s">
        <v>57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58</v>
      </c>
      <c r="I30" s="40">
        <f>Inputs!C78</f>
        <v>0</v>
      </c>
      <c r="J30" s="87"/>
    </row>
    <row r="31" spans="2:10" ht="15" customHeight="1" x14ac:dyDescent="0.4">
      <c r="B31" s="3" t="s">
        <v>59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60</v>
      </c>
      <c r="I31" s="40">
        <f>Inputs!C79</f>
        <v>0</v>
      </c>
      <c r="J31" s="87"/>
    </row>
    <row r="32" spans="2:10" ht="15" customHeight="1" x14ac:dyDescent="0.4">
      <c r="B32" s="3" t="s">
        <v>61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62</v>
      </c>
      <c r="I32" s="40">
        <f>Inputs!C80</f>
        <v>0</v>
      </c>
      <c r="J32" s="87"/>
    </row>
    <row r="33" spans="2:10" ht="13.9" x14ac:dyDescent="0.4">
      <c r="B33" s="1" t="s">
        <v>152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63</v>
      </c>
      <c r="I33" s="205">
        <f>Inputs!C81</f>
        <v>0</v>
      </c>
      <c r="J33" s="87"/>
    </row>
    <row r="34" spans="2:10" ht="13.9" x14ac:dyDescent="0.4">
      <c r="B34" s="3" t="s">
        <v>64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74</v>
      </c>
      <c r="I34" s="84">
        <f>SUM(I30:I33)</f>
        <v>0</v>
      </c>
      <c r="J34" s="87"/>
    </row>
    <row r="35" spans="2:10" ht="13.9" x14ac:dyDescent="0.4">
      <c r="B35" s="3" t="s">
        <v>66</v>
      </c>
      <c r="C35" s="40">
        <f>Inputs!C65</f>
        <v>0</v>
      </c>
      <c r="D35" s="198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68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45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115</v>
      </c>
      <c r="C38" s="40">
        <f>Inputs!C68</f>
        <v>0</v>
      </c>
      <c r="D38" s="198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69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70</v>
      </c>
      <c r="C40" s="40">
        <f>Inputs!C70</f>
        <v>0</v>
      </c>
      <c r="D40" s="198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71</v>
      </c>
      <c r="C41" s="40">
        <f>Inputs!C71</f>
        <v>0</v>
      </c>
      <c r="D41" s="198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72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65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73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75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76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77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78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79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80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81</v>
      </c>
      <c r="I48" s="207">
        <f>Inputs!C82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82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83</v>
      </c>
      <c r="C51" s="31"/>
      <c r="D51" s="18"/>
    </row>
    <row r="52" spans="2:11" ht="13.9" x14ac:dyDescent="0.4">
      <c r="B52" s="44" t="s">
        <v>84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85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143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86</v>
      </c>
      <c r="C56" s="87"/>
      <c r="D56" s="296">
        <f>I15+I34</f>
        <v>0</v>
      </c>
      <c r="E56" s="294"/>
      <c r="F56" s="3"/>
      <c r="G56" s="3"/>
      <c r="I56" s="56"/>
      <c r="K56" s="33"/>
    </row>
    <row r="57" spans="2:11" ht="13.9" x14ac:dyDescent="0.4">
      <c r="B57" s="20" t="s">
        <v>87</v>
      </c>
      <c r="C57" s="87"/>
      <c r="D57" s="295">
        <f>Inputs!C84</f>
        <v>0</v>
      </c>
      <c r="E57" s="294"/>
      <c r="G57" s="87"/>
      <c r="I57" s="87"/>
      <c r="K57" s="33" t="s">
        <v>88</v>
      </c>
    </row>
    <row r="58" spans="2:11" ht="12.75" customHeight="1" x14ac:dyDescent="0.4">
      <c r="B58" s="20" t="s">
        <v>89</v>
      </c>
      <c r="C58" s="87"/>
      <c r="D58" s="295">
        <f>Inputs!C85</f>
        <v>0</v>
      </c>
      <c r="E58" s="294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146</v>
      </c>
      <c r="C60" s="3"/>
      <c r="D60" s="75" t="s">
        <v>90</v>
      </c>
      <c r="E60" s="87"/>
      <c r="F60" s="9"/>
      <c r="G60" s="9"/>
      <c r="I60" s="87"/>
      <c r="K60" s="33"/>
    </row>
    <row r="61" spans="2:11" ht="15" customHeight="1" x14ac:dyDescent="0.4">
      <c r="B61" s="19" t="s">
        <v>91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135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137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144</v>
      </c>
      <c r="C64" s="208"/>
      <c r="D64" s="208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138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147</v>
      </c>
      <c r="C67" s="3"/>
      <c r="D67" s="75" t="s">
        <v>90</v>
      </c>
      <c r="E67" s="61"/>
      <c r="F67" s="87"/>
      <c r="G67" s="87"/>
      <c r="I67" s="87"/>
      <c r="K67" s="33"/>
    </row>
    <row r="68" spans="1:11" ht="13.9" x14ac:dyDescent="0.4">
      <c r="B68" s="19" t="s">
        <v>136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145</v>
      </c>
      <c r="C69" s="208"/>
      <c r="D69" s="208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139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123</v>
      </c>
      <c r="C72" s="283">
        <f>Data!C5</f>
        <v>45291</v>
      </c>
      <c r="D72" s="283"/>
      <c r="E72" s="297" t="s">
        <v>193</v>
      </c>
      <c r="F72" s="297"/>
      <c r="H72" s="297" t="s">
        <v>192</v>
      </c>
      <c r="I72" s="297"/>
      <c r="K72" s="50" t="s">
        <v>7</v>
      </c>
    </row>
    <row r="73" spans="1:11" ht="15" customHeight="1" x14ac:dyDescent="0.4">
      <c r="B73" s="12" t="str">
        <f>"(Numbers in "&amp;Data!C4&amp;Dashboard!G6&amp;")"</f>
        <v>(Numbers in 1000000CNY)</v>
      </c>
      <c r="C73" s="284" t="s">
        <v>97</v>
      </c>
      <c r="D73" s="284"/>
      <c r="E73" s="298" t="s">
        <v>98</v>
      </c>
      <c r="F73" s="284"/>
      <c r="H73" s="298" t="s">
        <v>98</v>
      </c>
      <c r="I73" s="284"/>
      <c r="K73" s="24"/>
    </row>
    <row r="74" spans="1:11" ht="15" customHeight="1" x14ac:dyDescent="0.4">
      <c r="B74" s="3" t="s">
        <v>122</v>
      </c>
      <c r="C74" s="77">
        <f>Data!C6</f>
        <v>468444</v>
      </c>
      <c r="D74" s="209"/>
      <c r="E74" s="238">
        <f>Inputs!E91</f>
        <v>468444</v>
      </c>
      <c r="F74" s="209"/>
      <c r="H74" s="238">
        <f>Inputs!F91</f>
        <v>468444</v>
      </c>
      <c r="I74" s="209"/>
      <c r="K74" s="24"/>
    </row>
    <row r="75" spans="1:11" ht="15" customHeight="1" x14ac:dyDescent="0.4">
      <c r="B75" s="104" t="s">
        <v>102</v>
      </c>
      <c r="C75" s="77">
        <f>Data!C8</f>
        <v>8726</v>
      </c>
      <c r="D75" s="159">
        <f>C75/$C$74</f>
        <v>1.8627626781429586E-2</v>
      </c>
      <c r="E75" s="238">
        <f>Inputs!E92</f>
        <v>8726</v>
      </c>
      <c r="F75" s="160">
        <f>E75/E74</f>
        <v>1.8627626781429586E-2</v>
      </c>
      <c r="H75" s="238">
        <f>Inputs!F92</f>
        <v>8726</v>
      </c>
      <c r="I75" s="160">
        <f>H75/$H$74</f>
        <v>1.8627626781429586E-2</v>
      </c>
      <c r="K75" s="24"/>
    </row>
    <row r="76" spans="1:11" ht="15" customHeight="1" x14ac:dyDescent="0.4">
      <c r="B76" s="35" t="s">
        <v>92</v>
      </c>
      <c r="C76" s="161">
        <f>C74-C75</f>
        <v>459718</v>
      </c>
      <c r="D76" s="210"/>
      <c r="E76" s="162">
        <f>E74-E75</f>
        <v>459718</v>
      </c>
      <c r="F76" s="210"/>
      <c r="H76" s="162">
        <f>H74-H75</f>
        <v>459718</v>
      </c>
      <c r="I76" s="210"/>
      <c r="K76" s="24"/>
    </row>
    <row r="77" spans="1:11" ht="15" customHeight="1" x14ac:dyDescent="0.4">
      <c r="B77" s="104" t="s">
        <v>231</v>
      </c>
      <c r="C77" s="77">
        <f>Data!C10+MAX(Data!C11,0)</f>
        <v>120991</v>
      </c>
      <c r="D77" s="159">
        <f>C77/$C$74</f>
        <v>0.25828274030620524</v>
      </c>
      <c r="E77" s="238">
        <f>Inputs!E93</f>
        <v>120991</v>
      </c>
      <c r="F77" s="160">
        <f>E77/E74</f>
        <v>0.25828274030620524</v>
      </c>
      <c r="H77" s="238">
        <f>Inputs!F93</f>
        <v>120991</v>
      </c>
      <c r="I77" s="160">
        <f>H77/$H$74</f>
        <v>0.25828274030620524</v>
      </c>
      <c r="K77" s="24"/>
    </row>
    <row r="78" spans="1:11" ht="15" customHeight="1" x14ac:dyDescent="0.4">
      <c r="B78" s="73" t="s">
        <v>162</v>
      </c>
      <c r="C78" s="77">
        <f>MAX(Data!C12,0)</f>
        <v>1872</v>
      </c>
      <c r="D78" s="159">
        <f>C78/$C$74</f>
        <v>3.9962087250557162E-3</v>
      </c>
      <c r="E78" s="180">
        <f>E74*F78</f>
        <v>1872</v>
      </c>
      <c r="F78" s="160">
        <f>I78</f>
        <v>3.9962087250557162E-3</v>
      </c>
      <c r="H78" s="238">
        <f>Inputs!F97</f>
        <v>1872</v>
      </c>
      <c r="I78" s="160">
        <f>H78/$H$74</f>
        <v>3.9962087250557162E-3</v>
      </c>
      <c r="K78" s="24"/>
    </row>
    <row r="79" spans="1:11" ht="15" customHeight="1" x14ac:dyDescent="0.4">
      <c r="B79" s="256" t="s">
        <v>219</v>
      </c>
      <c r="C79" s="257">
        <f>C76-C77-C78</f>
        <v>336855</v>
      </c>
      <c r="D79" s="258">
        <f>C79/C74</f>
        <v>0.71909342418730948</v>
      </c>
      <c r="E79" s="259">
        <f>E76-E77-E78</f>
        <v>336855</v>
      </c>
      <c r="F79" s="258">
        <f>E79/E74</f>
        <v>0.71909342418730948</v>
      </c>
      <c r="G79" s="260"/>
      <c r="H79" s="259">
        <f>H76-H77-H78</f>
        <v>336855</v>
      </c>
      <c r="I79" s="258">
        <f>H79/H74</f>
        <v>0.71909342418730948</v>
      </c>
      <c r="K79" s="24"/>
    </row>
    <row r="80" spans="1:11" ht="15" customHeight="1" x14ac:dyDescent="0.4">
      <c r="B80" s="28" t="s">
        <v>106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127</v>
      </c>
    </row>
    <row r="81" spans="1:11" ht="15" customHeight="1" x14ac:dyDescent="0.4">
      <c r="B81" s="104" t="s">
        <v>239</v>
      </c>
      <c r="C81" s="77">
        <f>MAX(Data!C17,0)</f>
        <v>160941</v>
      </c>
      <c r="D81" s="159">
        <f>C81/$C$74</f>
        <v>0.34356507928375646</v>
      </c>
      <c r="E81" s="180">
        <f>E74*F81</f>
        <v>160941</v>
      </c>
      <c r="F81" s="160">
        <f>I81</f>
        <v>0.34356507928375646</v>
      </c>
      <c r="H81" s="238">
        <f>Inputs!F94</f>
        <v>160941</v>
      </c>
      <c r="I81" s="160">
        <f>H81/$H$74</f>
        <v>0.34356507928375646</v>
      </c>
      <c r="K81" s="24"/>
    </row>
    <row r="82" spans="1:11" ht="15" customHeight="1" x14ac:dyDescent="0.4">
      <c r="B82" s="28" t="s">
        <v>230</v>
      </c>
      <c r="C82" s="77">
        <f>ABS(MAX(Data!C21,0)-MAX(Data!C19,0))</f>
        <v>0</v>
      </c>
      <c r="D82" s="159">
        <f>C82/$C$74</f>
        <v>0</v>
      </c>
      <c r="E82" s="238">
        <f>Inputs!E95</f>
        <v>0</v>
      </c>
      <c r="F82" s="160">
        <f>E82/E74</f>
        <v>0</v>
      </c>
      <c r="H82" s="238">
        <f>Inputs!F95</f>
        <v>0</v>
      </c>
      <c r="I82" s="160">
        <f>H82/$H$74</f>
        <v>0</v>
      </c>
      <c r="K82" s="24"/>
    </row>
    <row r="83" spans="1:11" ht="15" customHeight="1" thickBot="1" x14ac:dyDescent="0.45">
      <c r="B83" s="105" t="s">
        <v>121</v>
      </c>
      <c r="C83" s="163">
        <f>C79-C81-C82-C80</f>
        <v>175914</v>
      </c>
      <c r="D83" s="164">
        <f>C83/$C$74</f>
        <v>0.37552834490355302</v>
      </c>
      <c r="E83" s="165">
        <f>E79-E81-E82-E80</f>
        <v>175914</v>
      </c>
      <c r="F83" s="164">
        <f>E83/E74</f>
        <v>0.37552834490355302</v>
      </c>
      <c r="H83" s="165">
        <f>H79-H81-H82-H80</f>
        <v>175914</v>
      </c>
      <c r="I83" s="164">
        <f>H83/$H$74</f>
        <v>0.37552834490355302</v>
      </c>
      <c r="K83" s="24"/>
    </row>
    <row r="84" spans="1:11" ht="15" customHeight="1" thickTop="1" x14ac:dyDescent="0.4">
      <c r="B84" s="28" t="s">
        <v>93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157</v>
      </c>
      <c r="C85" s="257">
        <f>C83*(1-I84)</f>
        <v>131935.5</v>
      </c>
      <c r="D85" s="258">
        <f>C85/$C$74</f>
        <v>0.2816462586776648</v>
      </c>
      <c r="E85" s="264">
        <f>E83*(1-F84)</f>
        <v>131935.5</v>
      </c>
      <c r="F85" s="258">
        <f>E85/E74</f>
        <v>0.2816462586776648</v>
      </c>
      <c r="G85" s="260"/>
      <c r="H85" s="264">
        <f>H83*(1-I84)</f>
        <v>131935.5</v>
      </c>
      <c r="I85" s="258">
        <f>H85/$H$74</f>
        <v>0.2816462586776648</v>
      </c>
      <c r="K85" s="24"/>
    </row>
    <row r="86" spans="1:11" ht="15" customHeight="1" x14ac:dyDescent="0.4">
      <c r="B86" s="87" t="s">
        <v>153</v>
      </c>
      <c r="C86" s="167">
        <f>C85*Data!C4/Common_Shares</f>
        <v>5.2314158495390863</v>
      </c>
      <c r="D86" s="209"/>
      <c r="E86" s="168">
        <f>E85*Data!C4/Common_Shares</f>
        <v>5.2314158495390863</v>
      </c>
      <c r="F86" s="209"/>
      <c r="H86" s="168">
        <f>H85*Data!C4/Common_Shares</f>
        <v>5.2314158495390863</v>
      </c>
      <c r="I86" s="209"/>
      <c r="K86" s="24"/>
    </row>
    <row r="87" spans="1:11" ht="15" customHeight="1" x14ac:dyDescent="0.4">
      <c r="B87" s="87" t="s">
        <v>195</v>
      </c>
      <c r="C87" s="261">
        <f>C86*Exchange_Rate/Dashboard!G3</f>
        <v>0.1493516375446616</v>
      </c>
      <c r="D87" s="209"/>
      <c r="E87" s="262">
        <f>E86*Exchange_Rate/Dashboard!G3</f>
        <v>0.1493516375446616</v>
      </c>
      <c r="F87" s="209"/>
      <c r="H87" s="262">
        <f>H86*Exchange_Rate/Dashboard!G3</f>
        <v>0.1493516375446616</v>
      </c>
      <c r="I87" s="209"/>
      <c r="K87" s="24"/>
    </row>
    <row r="88" spans="1:11" ht="15" customHeight="1" x14ac:dyDescent="0.4">
      <c r="B88" s="86" t="s">
        <v>194</v>
      </c>
      <c r="C88" s="169">
        <f>Inputs!C44</f>
        <v>1.972</v>
      </c>
      <c r="D88" s="166">
        <f>C88/C86</f>
        <v>0.37695340166347946</v>
      </c>
      <c r="E88" s="170">
        <f>Inputs!E98</f>
        <v>1.972</v>
      </c>
      <c r="F88" s="166">
        <f>E88/E86</f>
        <v>0.37695340166347946</v>
      </c>
      <c r="H88" s="170">
        <f>Inputs!F98</f>
        <v>1.972</v>
      </c>
      <c r="I88" s="166">
        <f>H88/H86</f>
        <v>0.37695340166347946</v>
      </c>
      <c r="K88" s="24"/>
    </row>
    <row r="89" spans="1:11" ht="15" customHeight="1" x14ac:dyDescent="0.4">
      <c r="B89" s="87" t="s">
        <v>208</v>
      </c>
      <c r="C89" s="261">
        <f>C88*Exchange_Rate/Dashboard!G3</f>
        <v>5.6298607816471224E-2</v>
      </c>
      <c r="D89" s="209"/>
      <c r="E89" s="261">
        <f>E88*Exchange_Rate/Dashboard!G3</f>
        <v>5.6298607816471224E-2</v>
      </c>
      <c r="F89" s="209"/>
      <c r="H89" s="261">
        <f>H88*Exchange_Rate/Dashboard!G3</f>
        <v>5.6298607816471224E-2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128</v>
      </c>
    </row>
    <row r="92" spans="1:11" ht="15" customHeight="1" x14ac:dyDescent="0.4">
      <c r="B92" s="10" t="s">
        <v>148</v>
      </c>
      <c r="C92" s="198" t="str">
        <f>Inputs!C15</f>
        <v>CN</v>
      </c>
      <c r="D92" s="10" t="s">
        <v>149</v>
      </c>
      <c r="E92" s="297" t="s">
        <v>193</v>
      </c>
      <c r="F92" s="297"/>
      <c r="G92" s="87"/>
      <c r="H92" s="297" t="s">
        <v>192</v>
      </c>
      <c r="I92" s="297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8.6249999999999993E-2</v>
      </c>
      <c r="D93" s="239">
        <f>Inputs!C86</f>
        <v>5</v>
      </c>
      <c r="E93" s="87" t="s">
        <v>196</v>
      </c>
      <c r="F93" s="144">
        <f>FV(E87,D93,0,-(E86/(C93-D94)))*Exchange_Rate</f>
        <v>169.33257895297066</v>
      </c>
      <c r="H93" s="87" t="s">
        <v>196</v>
      </c>
      <c r="I93" s="144">
        <f>FV(H87,D93,0,-(H86/(C93-D94)))*Exchange_Rate</f>
        <v>169.33257895297066</v>
      </c>
      <c r="K93" s="24"/>
    </row>
    <row r="94" spans="1:11" ht="15" customHeight="1" x14ac:dyDescent="0.4">
      <c r="B94" s="1" t="s">
        <v>198</v>
      </c>
      <c r="C94" s="182">
        <f>Dashboard!G20</f>
        <v>0.15</v>
      </c>
      <c r="D94" s="270">
        <f>Inputs!D87</f>
        <v>0.02</v>
      </c>
      <c r="E94" s="87" t="s">
        <v>197</v>
      </c>
      <c r="F94" s="144">
        <f>FV(E89,D93,0,-(E88/(C93-D94)))*Exchange_Rate</f>
        <v>41.850160887483824</v>
      </c>
      <c r="H94" s="87" t="s">
        <v>197</v>
      </c>
      <c r="I94" s="144">
        <f>FV(H89,D93,0,-(H88/(C93-D94)))*Exchange_Rate</f>
        <v>41.850160887483824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200</v>
      </c>
      <c r="E96" s="183" t="str">
        <f>E72</f>
        <v>Pessimistic Case</v>
      </c>
      <c r="F96" s="227" t="s">
        <v>224</v>
      </c>
      <c r="H96" s="183" t="str">
        <f>H72</f>
        <v>Base Case</v>
      </c>
      <c r="I96" s="124" t="s">
        <v>111</v>
      </c>
      <c r="K96" s="24"/>
    </row>
    <row r="97" spans="2:11" ht="15" customHeight="1" x14ac:dyDescent="0.4">
      <c r="B97" s="1" t="s">
        <v>126</v>
      </c>
      <c r="C97" s="91">
        <f>H97*Common_Shares/Data!C4</f>
        <v>2123213.8791425196</v>
      </c>
      <c r="D97" s="213"/>
      <c r="E97" s="123">
        <f>PV(C94,D93,0,-F93)</f>
        <v>84.188218783477865</v>
      </c>
      <c r="F97" s="213"/>
      <c r="H97" s="123">
        <f>PV(C94,D93,0,-I93)</f>
        <v>84.188218783477865</v>
      </c>
      <c r="I97" s="123">
        <f>PV(C93,D93,0,-I93)</f>
        <v>111.9673953437205</v>
      </c>
      <c r="K97" s="24"/>
    </row>
    <row r="98" spans="2:11" ht="15" customHeight="1" x14ac:dyDescent="0.4">
      <c r="B98" s="28" t="s">
        <v>140</v>
      </c>
      <c r="C98" s="91">
        <f>-E53*Exchange_Rate</f>
        <v>0</v>
      </c>
      <c r="D98" s="213"/>
      <c r="E98" s="213"/>
      <c r="F98" s="213"/>
      <c r="H98" s="123">
        <f>C98*Data!$C$4/Common_Shares</f>
        <v>0</v>
      </c>
      <c r="I98" s="215"/>
      <c r="K98" s="24"/>
    </row>
    <row r="99" spans="2:11" ht="15" customHeight="1" thickBot="1" x14ac:dyDescent="0.45">
      <c r="B99" s="105" t="s">
        <v>141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111</v>
      </c>
      <c r="C100" s="91">
        <f>C97+C98+$C$99</f>
        <v>2123213.8791425196</v>
      </c>
      <c r="D100" s="109">
        <f>MIN(F100*(1-C94),E100)</f>
        <v>71.559985965956173</v>
      </c>
      <c r="E100" s="109">
        <f>MAX(E97+H98+E99,0)</f>
        <v>84.188218783477865</v>
      </c>
      <c r="F100" s="109">
        <f>(E100+H100)/2</f>
        <v>84.188218783477851</v>
      </c>
      <c r="H100" s="109">
        <f>MAX(C100*Data!$C$4/Common_Shares,0)</f>
        <v>84.188218783477851</v>
      </c>
      <c r="I100" s="109">
        <f>MAX(I97+H98+H99,0)</f>
        <v>111.9673953437205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155</v>
      </c>
      <c r="C102" s="127" t="str">
        <f>C96</f>
        <v>HKD</v>
      </c>
      <c r="D102" s="124" t="s">
        <v>200</v>
      </c>
      <c r="E102" s="183" t="str">
        <f>E96</f>
        <v>Pessimistic Case</v>
      </c>
      <c r="F102" s="227" t="s">
        <v>224</v>
      </c>
      <c r="H102" s="183" t="str">
        <f>H96</f>
        <v>Base Case</v>
      </c>
      <c r="I102" s="124" t="s">
        <v>111</v>
      </c>
      <c r="K102" s="24"/>
    </row>
    <row r="103" spans="2:11" ht="15" customHeight="1" x14ac:dyDescent="0.4">
      <c r="B103" s="1" t="s">
        <v>154</v>
      </c>
      <c r="C103" s="91">
        <f>H103*Common_Shares/Data!C4</f>
        <v>524747.47027464584</v>
      </c>
      <c r="D103" s="109">
        <f>MIN(F103*(1-C94),E103)</f>
        <v>17.685887407485282</v>
      </c>
      <c r="E103" s="123">
        <f>PV(C94,D93,0,-F94)</f>
        <v>20.80692636174739</v>
      </c>
      <c r="F103" s="109">
        <f>(E103+H103)/2</f>
        <v>20.80692636174739</v>
      </c>
      <c r="H103" s="123">
        <f>PV(C94,D93,0,-I94)</f>
        <v>20.80692636174739</v>
      </c>
      <c r="I103" s="109">
        <f>PV(C93,D93,0,-I94)</f>
        <v>27.672486524808843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184</v>
      </c>
      <c r="C105" s="127" t="str">
        <f>C102</f>
        <v>HKD</v>
      </c>
      <c r="D105" s="124" t="s">
        <v>200</v>
      </c>
      <c r="E105" s="184" t="str">
        <f>E96</f>
        <v>Pessimistic Case</v>
      </c>
      <c r="F105" s="227" t="s">
        <v>224</v>
      </c>
      <c r="H105" s="184" t="str">
        <f>H96</f>
        <v>Base Case</v>
      </c>
      <c r="I105" s="124" t="s">
        <v>111</v>
      </c>
      <c r="K105" s="24"/>
    </row>
    <row r="106" spans="2:11" ht="15" customHeight="1" x14ac:dyDescent="0.4">
      <c r="B106" s="1" t="s">
        <v>185</v>
      </c>
      <c r="C106" s="91">
        <f>E106*Common_Shares/Data!C4</f>
        <v>1323980.6747085827</v>
      </c>
      <c r="D106" s="109">
        <f>(D100+D103)/2</f>
        <v>44.622936686720728</v>
      </c>
      <c r="E106" s="123">
        <f>(E100+E103)/2</f>
        <v>52.497572572612626</v>
      </c>
      <c r="F106" s="109">
        <f>(F100+F103)/2</f>
        <v>52.497572572612619</v>
      </c>
      <c r="H106" s="123">
        <f>(H100+H103)/2</f>
        <v>52.497572572612619</v>
      </c>
      <c r="I106" s="123">
        <f>(I100+I103)/2</f>
        <v>69.819940934264665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158</v>
      </c>
      <c r="C108" s="128" t="str">
        <f>Inputs!C87</f>
        <v>Dividend</v>
      </c>
      <c r="K108" s="24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2024-12-16T06:47:20Z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