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151994D-9E2E-4E01-8CF8-A72940E08CF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F95" i="4" l="1"/>
  <c r="F96" i="4"/>
  <c r="E93" i="4"/>
  <c r="E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G53" i="2"/>
  <c r="H50" i="2"/>
  <c r="K53" i="2"/>
  <c r="L50" i="2"/>
  <c r="I53" i="2"/>
  <c r="J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L15" i="2"/>
  <c r="M60" i="2"/>
  <c r="D22" i="2"/>
  <c r="D61" i="2" s="1"/>
  <c r="D60" i="2"/>
  <c r="G22" i="2"/>
  <c r="G61" i="2" s="1"/>
  <c r="G60" i="2"/>
  <c r="J15" i="2"/>
  <c r="K60" i="2"/>
  <c r="E22" i="2"/>
  <c r="E61" i="2" s="1"/>
  <c r="E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L59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0" i="2" l="1"/>
  <c r="C22" i="1"/>
  <c r="C20" i="1" s="1"/>
  <c r="C59" i="2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<sst xmlns="http://schemas.openxmlformats.org/spreadsheetml/2006/main" count="393" uniqueCount="273">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</sst>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294387791241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0.2364</v>
      </c>
      <c r="D44" s="250">
        <v>0.23200000000000001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6.5991996137653886E-2</v>
      </c>
      <c r="D45" s="152">
        <f>IF(D44="","",D44*Exchange_Rate/Dashboard!$G$3)</f>
        <v>6.4763718713771998E-2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102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231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239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230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0.2364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3988.HK</v>
      </c>
      <c r="D3" s="290"/>
      <c r="E3" s="87"/>
      <c r="F3" s="3" t="s">
        <v>1</v>
      </c>
      <c r="G3" s="132">
        <v>3.83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中国银行</v>
      </c>
      <c r="D4" s="292"/>
      <c r="E4" s="87"/>
      <c r="F4" s="3" t="s">
        <v>2</v>
      </c>
      <c r="G4" s="295">
        <f>Inputs!C10</f>
        <v>294387791241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45605</v>
      </c>
      <c r="D5" s="294"/>
      <c r="E5" s="34"/>
      <c r="F5" s="35" t="s">
        <v>96</v>
      </c>
      <c r="G5" s="287">
        <f>G3*G4/1000000</f>
        <v>1127505.24045303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0.79282084085452409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</v>
      </c>
      <c r="F24" s="140" t="s">
        <v>241</v>
      </c>
      <c r="G24" s="268">
        <f>G3/(Fin_Analysis!H86*G7)</f>
        <v>4.1730828930087522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0.34947978446388717</v>
      </c>
    </row>
    <row r="26" spans="1:8" ht="15.75" customHeight="1" x14ac:dyDescent="0.4">
      <c r="B26" s="138" t="s">
        <v>261</v>
      </c>
      <c r="C26" s="171">
        <f>Fin_Analysis!I80+Fin_Analysis!I82</f>
        <v>0.49757189674208302</v>
      </c>
      <c r="F26" s="141" t="s">
        <v>180</v>
      </c>
      <c r="G26" s="178">
        <f>Fin_Analysis!H88*Exchange_Rate/G3</f>
        <v>8.3746187991946539E-2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3.058761234033077</v>
      </c>
      <c r="D29" s="129">
        <f>G29*(1+G20)</f>
        <v>5.5038266468268082</v>
      </c>
      <c r="E29" s="87"/>
      <c r="F29" s="131">
        <f>IF(Fin_Analysis!C108="Profit",Fin_Analysis!F100,IF(Fin_Analysis!C108="Dividend",Fin_Analysis!F103,Fin_Analysis!F106))</f>
        <v>3.5985426282742083</v>
      </c>
      <c r="G29" s="286">
        <f>IF(Fin_Analysis!C108="Profit",Fin_Analysis!I100,IF(Fin_Analysis!C108="Dividend",Fin_Analysis!I103,Fin_Analysis!I106))</f>
        <v>4.7859362146320077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102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92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121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153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0.23963099359356596</v>
      </c>
      <c r="D87" s="209"/>
      <c r="E87" s="262">
        <f>E86*Exchange_Rate/Dashboard!G3</f>
        <v>0.23963099359356596</v>
      </c>
      <c r="F87" s="209"/>
      <c r="H87" s="262">
        <f>H86*Exchange_Rate/Dashboard!G3</f>
        <v>0.23963099359356596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0.2364</v>
      </c>
      <c r="D88" s="166">
        <f>C88/C86</f>
        <v>0.27539007015754308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208</v>
      </c>
      <c r="C89" s="261">
        <f>C88*Exchange_Rate/Dashboard!G3</f>
        <v>6.5991996137653886E-2</v>
      </c>
      <c r="D89" s="209"/>
      <c r="E89" s="261">
        <f>E88*Exchange_Rate/Dashboard!G3</f>
        <v>8.3746187991946539E-2</v>
      </c>
      <c r="F89" s="209"/>
      <c r="H89" s="261">
        <f>H88*Exchange_Rate/Dashboard!G3</f>
        <v>8.3746187991946539E-2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40.552535216405715</v>
      </c>
      <c r="H93" s="87" t="s">
        <v>196</v>
      </c>
      <c r="I93" s="144">
        <f>FV(H87,D93,0,-(H86/(C93-D94)))*Exchange_Rate</f>
        <v>40.552535216405715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7.2379545799044678</v>
      </c>
      <c r="H94" s="87" t="s">
        <v>197</v>
      </c>
      <c r="I94" s="144">
        <f>FV(H89,D93,0,-(H88/(C93-D94)))*Exchange_Rate</f>
        <v>7.2379545799044678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5935381.0182362497</v>
      </c>
      <c r="D97" s="213"/>
      <c r="E97" s="123">
        <f>PV(C94,D93,0,-F93)</f>
        <v>20.161777066961523</v>
      </c>
      <c r="F97" s="213"/>
      <c r="H97" s="123">
        <f>PV(C94,D93,0,-I93)</f>
        <v>20.161777066961523</v>
      </c>
      <c r="I97" s="123">
        <f>PV(C93,D93,0,-I93)</f>
        <v>26.814460459062122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5935381.0182362497</v>
      </c>
      <c r="D100" s="109">
        <f>MIN(F100*(1-C94),E100)</f>
        <v>17.137510506917295</v>
      </c>
      <c r="E100" s="109">
        <f>MAX(E97+H98+E99,0)</f>
        <v>20.161777066961523</v>
      </c>
      <c r="F100" s="109">
        <f>(E100+H100)/2</f>
        <v>20.161777066961523</v>
      </c>
      <c r="H100" s="109">
        <f>MAX(C100*Data!$C$4/Common_Shares,0)</f>
        <v>20.161777066961523</v>
      </c>
      <c r="I100" s="109">
        <f>MAX(I97+H98+H99,0)</f>
        <v>26.814460459062122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1059367.016024227</v>
      </c>
      <c r="D103" s="109">
        <f>MIN(F103*(1-C94),E103)</f>
        <v>3.058761234033077</v>
      </c>
      <c r="E103" s="123">
        <f>PV(C94,D93,0,-F94)</f>
        <v>3.5985426282742083</v>
      </c>
      <c r="F103" s="109">
        <f>(E103+H103)/2</f>
        <v>3.5985426282742083</v>
      </c>
      <c r="H103" s="123">
        <f>PV(C94,D93,0,-I94)</f>
        <v>3.5985426282742083</v>
      </c>
      <c r="I103" s="109">
        <f>PV(C93,D93,0,-I94)</f>
        <v>4.7859362146320077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3497374.0171302389</v>
      </c>
      <c r="D106" s="109">
        <f>(D100+D103)/2</f>
        <v>10.098135870475186</v>
      </c>
      <c r="E106" s="123">
        <f>(E100+E103)/2</f>
        <v>11.880159847617866</v>
      </c>
      <c r="F106" s="109">
        <f>(F100+F103)/2</f>
        <v>11.880159847617866</v>
      </c>
      <c r="H106" s="123">
        <f>(H100+H103)/2</f>
        <v>11.880159847617866</v>
      </c>
      <c r="I106" s="123">
        <f>(I100+I103)/2</f>
        <v>15.800198336847064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