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3CF77DF-7A17-49DA-B6B8-37AF1A2D5534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B7" i="3"/>
  <c r="M53" i="2"/>
  <c r="F97" i="4" l="1"/>
  <c r="E92" i="4"/>
  <c r="F92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K27" i="2"/>
  <c r="K55" i="2"/>
  <c r="J27" i="2"/>
  <c r="J55" i="2"/>
  <c r="I27" i="2"/>
  <c r="I55" i="2"/>
  <c r="E53" i="2"/>
  <c r="F50" i="2"/>
  <c r="F53" i="2"/>
  <c r="G50" i="2"/>
  <c r="C53" i="2"/>
  <c r="K53" i="2"/>
  <c r="L50" i="2"/>
  <c r="I53" i="2"/>
  <c r="J50" i="2"/>
  <c r="G53" i="2"/>
  <c r="H50" i="2"/>
  <c r="J53" i="2"/>
  <c r="K50" i="2"/>
  <c r="H53" i="2"/>
  <c r="I50" i="2"/>
  <c r="D53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50" i="2" l="1"/>
  <c r="E50" i="2"/>
  <c r="F22" i="2"/>
  <c r="F61" i="2" s="1"/>
  <c r="F60" i="2"/>
  <c r="K15" i="2"/>
  <c r="L60" i="2"/>
  <c r="E22" i="2"/>
  <c r="E61" i="2" s="1"/>
  <c r="E60" i="2"/>
  <c r="D22" i="2"/>
  <c r="D61" i="2" s="1"/>
  <c r="D60" i="2"/>
  <c r="L15" i="2"/>
  <c r="M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G57" i="2"/>
  <c r="D15" i="2"/>
  <c r="E15" i="2"/>
  <c r="K13" i="2"/>
  <c r="E13" i="2"/>
  <c r="L13" i="2"/>
  <c r="L59" i="2" s="1"/>
  <c r="E40" i="2"/>
  <c r="G13" i="2"/>
  <c r="G59" i="2" s="1"/>
  <c r="D40" i="2"/>
  <c r="D13" i="2"/>
  <c r="G40" i="2"/>
  <c r="K56" i="2"/>
  <c r="L24" i="2"/>
  <c r="L23" i="2" s="1"/>
  <c r="M57" i="2"/>
  <c r="M56" i="2"/>
  <c r="E57" i="2" l="1"/>
  <c r="D59" i="2"/>
  <c r="D56" i="2"/>
  <c r="E59" i="2"/>
  <c r="K59" i="2"/>
  <c r="H77" i="3"/>
  <c r="H75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61" i="2" l="1"/>
  <c r="C22" i="1"/>
  <c r="C20" i="1" s="1"/>
  <c r="C59" i="2"/>
  <c r="C60" i="2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<sst xmlns="http://schemas.openxmlformats.org/spreadsheetml/2006/main" count="393" uniqueCount="270">
  <si>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</si>
  <si>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</si>
  <si>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</si>
  <si>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</si>
  <si>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</si>
  <si>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</si>
  <si>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</si>
  <si>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</si>
  <si>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</si>
  <si>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</si>
  <si>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</si>
  <si>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</si>
  <si>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</si>
  <si>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</si>
  <si>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</si>
  <si>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</si>
  <si>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</si>
  <si>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</si>
  <si>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</si>
  <si>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</si>
  <si>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</si>
  <si>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</si>
  <si>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</si>
  <si>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</si>
  <si>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</si>
  <si>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</si>
  <si>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</si>
  <si>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</si>
  <si>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</si>
  <si>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</si>
  <si>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</si>
  <si>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</si>
  <si>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</si>
  <si>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</si>
  <si>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</si>
  <si>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</si>
  <si>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</si>
  <si>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</si>
  <si>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</si>
  <si>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</si>
  <si>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</si>
  <si>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</si>
  <si>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</si>
  <si>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</si>
  <si>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</si>
  <si>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</si>
  <si>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</si>
  <si>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</si>
  <si>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</si>
  <si>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</si>
  <si>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</si>
  <si>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</si>
  <si>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</si>
  <si>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</si>
  <si>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</si>
  <si>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</si>
  <si>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</si>
  <si>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</si>
  <si>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</si>
  <si>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</si>
  <si>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</si>
  <si>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</si>
  <si>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</si>
  <si>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</si>
  <si>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</si>
  <si>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</si>
  <si>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</si>
  <si>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</si>
  <si>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</si>
  <si>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</si>
  <si>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</si>
  <si>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</si>
  <si>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</si>
  <si>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</si>
  <si>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</si>
  <si>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</si>
  <si>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</si>
  <si>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</si>
  <si>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</si>
  <si>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</si>
  <si>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</si>
  <si>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</si>
  <si>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</si>
  <si>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</si>
  <si>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</si>
  <si>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</si>
  <si>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</si>
  <si>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</si>
  <si>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</si>
  <si>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</si>
  <si>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</si>
  <si>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</si>
  <si>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</si>
  <si>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</si>
  <si>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</si>
  <si>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</si>
  <si>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</si>
  <si>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</si>
  <si>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</si>
  <si>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</si>
  <si>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</si>
  <si>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</si>
  <si>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</si>
  <si>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</si>
  <si>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</si>
  <si>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</si>
  <si>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</si>
  <si>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</si>
  <si>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</si>
  <si>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</si>
  <si>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</si>
  <si>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</si>
  <si>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</si>
  <si>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</si>
  <si>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</si>
  <si>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</si>
  <si>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</si>
  <si>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</si>
  <si>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</si>
  <si>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</si>
  <si>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</si>
  <si>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</si>
  <si>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</si>
  <si>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</si>
  <si>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</si>
  <si>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</si>
  <si>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</si>
  <si>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</si>
  <si>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</si>
  <si>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</si>
  <si>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</si>
  <si>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</si>
  <si>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</si>
  <si>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</si>
  <si>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</si>
  <si>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</si>
  <si>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</si>
  <si>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</si>
  <si>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</si>
  <si>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</si>
  <si>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</si>
  <si>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</si>
  <si>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</si>
  <si>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</si>
  <si>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</si>
  <si>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</si>
  <si>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</si>
  <si>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</si>
  <si>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</si>
  <si>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</si>
  <si>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</si>
  <si>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</si>
  <si>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</si>
  <si>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</si>
  <si>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</si>
  <si>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</si>
  <si>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</si>
  <si>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</si>
  <si>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</si>
  <si>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</si>
  <si>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</si>
  <si>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</si>
  <si>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</si>
  <si>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</si>
  <si>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</si>
  <si>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</si>
  <si>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</si>
  <si>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</si>
  <si>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</si>
  <si>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</si>
  <si>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</si>
  <si>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</si>
  <si>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</si>
  <si>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</si>
  <si>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</si>
  <si>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</si>
  <si>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</si>
  <si>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</si>
  <si>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</si>
  <si>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</si>
  <si>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</si>
  <si>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</si>
  <si>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</si>
  <si>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</si>
  <si>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</si>
  <si>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</si>
  <si>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</si>
  <si>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</si>
  <si>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</si>
  <si>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</si>
  <si>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</si>
  <si>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</si>
  <si>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</si>
  <si>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</si>
  <si>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</si>
  <si>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</si>
  <si>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</si>
  <si>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</si>
  <si>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</si>
  <si>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</si>
  <si>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</si>
  <si>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</si>
  <si>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</si>
  <si>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</si>
  <si>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</si>
  <si>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</si>
  <si>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</si>
  <si>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</si>
  <si>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</si>
  <si>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</si>
  <si>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</si>
  <si>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</si>
  <si>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</si>
  <si>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</si>
  <si>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</si>
  <si>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</si>
  <si>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</si>
  <si>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</si>
  <si>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</si>
  <si>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</si>
  <si>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</si>
  <si>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</si>
  <si>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</si>
  <si>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</si>
  <si>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</si>
  <si>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</si>
  <si>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</si>
  <si>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</si>
  <si>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</si>
  <si>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</si>
  <si>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</si>
  <si>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</si>
  <si>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</si>
  <si>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</si>
  <si>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</si>
  <si>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</si>
  <si>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</si>
  <si>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</si>
  <si>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</si>
  <si>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</si>
  <si>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</si>
  <si>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</si>
  <si>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</si>
  <si>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</si>
  <si>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</si>
  <si>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</si>
  <si>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</si>
  <si>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</si>
  <si>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</si>
  <si>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</si>
  <si>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</si>
  <si>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</si>
  <si>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</si>
  <si>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</si>
  <si>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</si>
  <si>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</si>
  <si>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</si>
  <si>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</si>
  <si>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</si>
  <si>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</si>
  <si>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</si>
  <si>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</si>
  <si>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</si>
  <si>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</si>
  <si>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</si>
  <si>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6181.HK</t>
  </si>
  <si>
    <t>老鋪黃金</t>
  </si>
  <si>
    <t>CNY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</si>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</sst>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265</v>
      </c>
    </row>
    <row r="5" spans="1:5" ht="13.9" x14ac:dyDescent="0.4">
      <c r="B5" s="141" t="s">
        <v>182</v>
      </c>
      <c r="C5" s="191" t="s">
        <v>266</v>
      </c>
    </row>
    <row r="6" spans="1:5" ht="13.9" x14ac:dyDescent="0.4">
      <c r="B6" s="141" t="s">
        <v>156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202</v>
      </c>
      <c r="C8" s="191" t="s">
        <v>67</v>
      </c>
      <c r="E8" s="267"/>
    </row>
    <row r="9" spans="1:5" ht="13.9" x14ac:dyDescent="0.4">
      <c r="B9" s="140" t="s">
        <v>203</v>
      </c>
      <c r="C9" s="192" t="s">
        <v>230</v>
      </c>
    </row>
    <row r="10" spans="1:5" ht="13.9" x14ac:dyDescent="0.4">
      <c r="B10" s="140" t="s">
        <v>204</v>
      </c>
      <c r="C10" s="193">
        <v>168366700</v>
      </c>
    </row>
    <row r="11" spans="1:5" ht="13.9" x14ac:dyDescent="0.4">
      <c r="B11" s="140" t="s">
        <v>205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240</v>
      </c>
      <c r="C15" s="176" t="s">
        <v>177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211</v>
      </c>
      <c r="C17" s="242" t="s">
        <v>231</v>
      </c>
      <c r="D17" s="24"/>
    </row>
    <row r="18" spans="2:13" ht="13.9" x14ac:dyDescent="0.4">
      <c r="B18" s="240" t="s">
        <v>225</v>
      </c>
      <c r="C18" s="242" t="s">
        <v>231</v>
      </c>
      <c r="D18" s="24"/>
    </row>
    <row r="19" spans="2:13" ht="13.9" x14ac:dyDescent="0.4">
      <c r="B19" s="240" t="s">
        <v>226</v>
      </c>
      <c r="C19" s="242" t="s">
        <v>231</v>
      </c>
      <c r="D19" s="24"/>
    </row>
    <row r="20" spans="2:13" ht="13.9" x14ac:dyDescent="0.4">
      <c r="B20" s="241" t="s">
        <v>215</v>
      </c>
      <c r="C20" s="242" t="s">
        <v>231</v>
      </c>
      <c r="D20" s="24"/>
    </row>
    <row r="21" spans="2:13" ht="13.9" x14ac:dyDescent="0.4">
      <c r="B21" s="224" t="s">
        <v>218</v>
      </c>
      <c r="C21" s="242" t="s">
        <v>231</v>
      </c>
      <c r="D21" s="24"/>
    </row>
    <row r="22" spans="2:13" ht="78.75" x14ac:dyDescent="0.4">
      <c r="B22" s="226" t="s">
        <v>217</v>
      </c>
      <c r="C22" s="243" t="s">
        <v>243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3179564</v>
      </c>
      <c r="D25" s="149">
        <v>1294220</v>
      </c>
      <c r="E25" s="149">
        <v>1264603</v>
      </c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1847607</v>
      </c>
      <c r="D26" s="150">
        <v>752082</v>
      </c>
      <c r="E26" s="150">
        <v>743602</v>
      </c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746918</v>
      </c>
      <c r="D27" s="150">
        <v>391294</v>
      </c>
      <c r="E27" s="150">
        <v>351556</v>
      </c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>
        <v>10720</v>
      </c>
      <c r="D28" s="150">
        <v>8525</v>
      </c>
      <c r="E28" s="150">
        <v>8411</v>
      </c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241</v>
      </c>
      <c r="C29" s="150">
        <v>18182</v>
      </c>
      <c r="D29" s="150">
        <v>16973</v>
      </c>
      <c r="E29" s="150">
        <v>11671</v>
      </c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0</v>
      </c>
      <c r="D30" s="150">
        <v>0</v>
      </c>
      <c r="E30" s="150">
        <v>0</v>
      </c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/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237</v>
      </c>
      <c r="C45" s="152" t="str">
        <f>IF(C44="","",C44*Exchange_Rate/Dashboard!$G$3)</f>
        <v/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235</v>
      </c>
      <c r="C47" s="194" t="s">
        <v>30</v>
      </c>
      <c r="D47" s="194" t="s">
        <v>183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246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245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207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236</v>
      </c>
      <c r="C86" s="197">
        <v>5</v>
      </c>
    </row>
    <row r="87" spans="2:8" ht="13.9" x14ac:dyDescent="0.4">
      <c r="B87" s="10" t="s">
        <v>234</v>
      </c>
      <c r="C87" s="236" t="s">
        <v>268</v>
      </c>
      <c r="D87" s="269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3179564</v>
      </c>
      <c r="D91" s="209"/>
      <c r="E91" s="251">
        <f>C91</f>
        <v>3179564</v>
      </c>
      <c r="F91" s="251">
        <f>C91</f>
        <v>3179564</v>
      </c>
    </row>
    <row r="92" spans="2:8" ht="13.9" x14ac:dyDescent="0.4">
      <c r="B92" s="104" t="s">
        <v>102</v>
      </c>
      <c r="C92" s="77">
        <f>C26</f>
        <v>1847607</v>
      </c>
      <c r="D92" s="159">
        <f>C92/C91</f>
        <v>0.58108816177312361</v>
      </c>
      <c r="E92" s="252">
        <f>E91*D92</f>
        <v>1847607</v>
      </c>
      <c r="F92" s="252">
        <f>F91*D92</f>
        <v>1847607</v>
      </c>
    </row>
    <row r="93" spans="2:8" ht="13.9" x14ac:dyDescent="0.4">
      <c r="B93" s="104" t="s">
        <v>233</v>
      </c>
      <c r="C93" s="77">
        <f>C27+C28</f>
        <v>757638</v>
      </c>
      <c r="D93" s="159">
        <f>C93/C91</f>
        <v>0.23828361372817153</v>
      </c>
      <c r="E93" s="252">
        <f>E91*D93</f>
        <v>757638</v>
      </c>
      <c r="F93" s="252">
        <f>F91*D93</f>
        <v>757638</v>
      </c>
    </row>
    <row r="94" spans="2:8" ht="13.9" x14ac:dyDescent="0.4">
      <c r="B94" s="104" t="s">
        <v>241</v>
      </c>
      <c r="C94" s="77">
        <f>C29</f>
        <v>18182</v>
      </c>
      <c r="D94" s="159">
        <f>C94/C91</f>
        <v>5.7183940942846252E-3</v>
      </c>
      <c r="E94" s="253"/>
      <c r="F94" s="252">
        <f>F91*D94</f>
        <v>18182</v>
      </c>
    </row>
    <row r="95" spans="2:8" ht="13.9" x14ac:dyDescent="0.4">
      <c r="B95" s="28" t="s">
        <v>232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194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6181.HK : 老鋪黃金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6181.HK</v>
      </c>
      <c r="D3" s="290"/>
      <c r="E3" s="87"/>
      <c r="F3" s="3" t="s">
        <v>1</v>
      </c>
      <c r="G3" s="132">
        <v>232.6</v>
      </c>
      <c r="H3" s="134" t="s">
        <v>269</v>
      </c>
    </row>
    <row r="4" spans="1:10" ht="15.75" customHeight="1" x14ac:dyDescent="0.4">
      <c r="B4" s="35" t="s">
        <v>182</v>
      </c>
      <c r="C4" s="291" t="str">
        <f>Inputs!C5</f>
        <v>老鋪黃金</v>
      </c>
      <c r="D4" s="292"/>
      <c r="E4" s="87"/>
      <c r="F4" s="3" t="s">
        <v>2</v>
      </c>
      <c r="G4" s="295">
        <f>Inputs!C10</f>
        <v>168366700</v>
      </c>
      <c r="H4" s="295"/>
      <c r="I4" s="39"/>
    </row>
    <row r="5" spans="1:10" ht="15.75" customHeight="1" x14ac:dyDescent="0.4">
      <c r="B5" s="3" t="s">
        <v>156</v>
      </c>
      <c r="C5" s="293">
        <f>Inputs!C6</f>
        <v>45593</v>
      </c>
      <c r="D5" s="294"/>
      <c r="E5" s="34"/>
      <c r="F5" s="35" t="s">
        <v>96</v>
      </c>
      <c r="G5" s="287">
        <f>G3*G4/1000000</f>
        <v>39162.094420000001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>N</v>
      </c>
      <c r="D7" s="187" t="str">
        <f>Inputs!C9</f>
        <v>C0003</v>
      </c>
      <c r="E7" s="87"/>
      <c r="F7" s="35" t="s">
        <v>5</v>
      </c>
      <c r="G7" s="133">
        <v>1.0691596666971843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HK</v>
      </c>
      <c r="F16" s="110" t="s">
        <v>167</v>
      </c>
    </row>
    <row r="17" spans="1:8" ht="15.75" customHeight="1" thickTop="1" x14ac:dyDescent="0.4">
      <c r="B17" s="87" t="s">
        <v>239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264</v>
      </c>
      <c r="C19" s="135" t="s">
        <v>48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254</v>
      </c>
      <c r="C20" s="276" t="e">
        <f>C23*C22*(1/C21)</f>
        <v>#DIV/0!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252</v>
      </c>
      <c r="C21" s="278" t="e">
        <f>Data!C55</f>
        <v>#DIV/0!</v>
      </c>
      <c r="F21" s="87"/>
      <c r="G21" s="29"/>
    </row>
    <row r="22" spans="1:8" ht="15.75" customHeight="1" x14ac:dyDescent="0.4">
      <c r="B22" s="279" t="s">
        <v>259</v>
      </c>
      <c r="C22" s="280" t="e">
        <f>Data!C50</f>
        <v>#DIV/0!</v>
      </c>
      <c r="F22" s="142" t="s">
        <v>172</v>
      </c>
    </row>
    <row r="23" spans="1:8" ht="15.75" customHeight="1" thickBot="1" x14ac:dyDescent="0.45">
      <c r="B23" s="281" t="s">
        <v>260</v>
      </c>
      <c r="C23" s="282">
        <f>Data!C13</f>
        <v>0.18062822449870486</v>
      </c>
      <c r="F23" s="140" t="s">
        <v>176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261</v>
      </c>
      <c r="C24" s="171">
        <f>Fin_Analysis!I81</f>
        <v>5.7183940942846252E-3</v>
      </c>
      <c r="F24" s="140" t="s">
        <v>244</v>
      </c>
      <c r="G24" s="268">
        <f>G3/(Fin_Analysis!H86*G7)</f>
        <v>87.817342406925434</v>
      </c>
    </row>
    <row r="25" spans="1:8" ht="15.75" customHeight="1" x14ac:dyDescent="0.4">
      <c r="B25" s="137" t="s">
        <v>262</v>
      </c>
      <c r="C25" s="171">
        <f>Fin_Analysis!I80</f>
        <v>0</v>
      </c>
      <c r="F25" s="140" t="s">
        <v>163</v>
      </c>
      <c r="G25" s="171">
        <f>Fin_Analysis!I88</f>
        <v>0</v>
      </c>
    </row>
    <row r="26" spans="1:8" ht="15.75" customHeight="1" x14ac:dyDescent="0.4">
      <c r="B26" s="138" t="s">
        <v>263</v>
      </c>
      <c r="C26" s="171">
        <f>Fin_Analysis!I80+Fin_Analysis!I82</f>
        <v>0</v>
      </c>
      <c r="F26" s="141" t="s">
        <v>180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159</v>
      </c>
      <c r="D28" s="43" t="s">
        <v>160</v>
      </c>
      <c r="E28" s="58"/>
      <c r="F28" s="53" t="s">
        <v>224</v>
      </c>
      <c r="G28" s="285" t="s">
        <v>242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86">
        <f>IF(Fin_Analysis!C108="Profit",Fin_Analysis!I100,IF(Fin_Analysis!C108="Dividend",Fin_Analysis!I103,Fin_Analysis!I106))</f>
        <v>0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unclear</v>
      </c>
    </row>
    <row r="34" spans="1:3" ht="15.75" customHeight="1" x14ac:dyDescent="0.4">
      <c r="A34"/>
      <c r="B34" s="19" t="s">
        <v>212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unclear</v>
      </c>
    </row>
    <row r="37" spans="1:3" ht="15.75" customHeight="1" x14ac:dyDescent="0.4">
      <c r="A37"/>
      <c r="B37" s="20" t="s">
        <v>226</v>
      </c>
      <c r="C37" s="245" t="str">
        <f>Inputs!C19</f>
        <v>unclear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unclear</v>
      </c>
    </row>
    <row r="40" spans="1:3" ht="15.75" customHeight="1" x14ac:dyDescent="0.4">
      <c r="A40"/>
      <c r="B40" s="1" t="s">
        <v>218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187</v>
      </c>
      <c r="F3" s="85" t="str">
        <f>H14</f>
        <v/>
      </c>
      <c r="G3" s="85">
        <f>C14</f>
        <v>574319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3179564</v>
      </c>
      <c r="D6" s="200">
        <f>IF(Inputs!D25="","",Inputs!D25)</f>
        <v>1294220</v>
      </c>
      <c r="E6" s="200">
        <f>IF(Inputs!E25="","",Inputs!E25)</f>
        <v>1264603</v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1.4567415122622118</v>
      </c>
      <c r="D7" s="92">
        <f t="shared" si="1"/>
        <v>2.3419998212877768E-2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1847607</v>
      </c>
      <c r="D8" s="199">
        <f>IF(Inputs!D26="","",Inputs!D26)</f>
        <v>752082</v>
      </c>
      <c r="E8" s="199">
        <f>IF(Inputs!E26="","",Inputs!E26)</f>
        <v>743602</v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1331957</v>
      </c>
      <c r="D9" s="151">
        <f t="shared" si="2"/>
        <v>542138</v>
      </c>
      <c r="E9" s="151">
        <f t="shared" si="2"/>
        <v>521001</v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746918</v>
      </c>
      <c r="D10" s="199">
        <f>IF(Inputs!D27="","",Inputs!D27)</f>
        <v>391294</v>
      </c>
      <c r="E10" s="199">
        <f>IF(Inputs!E27="","",Inputs!E27)</f>
        <v>351556</v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>
        <f>IF(Inputs!C28="","",Inputs!C28)</f>
        <v>10720</v>
      </c>
      <c r="D11" s="199">
        <f>IF(Inputs!D28="","",Inputs!D28)</f>
        <v>8525</v>
      </c>
      <c r="E11" s="199">
        <f>IF(Inputs!E28="","",Inputs!E28)</f>
        <v>8411</v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>
        <f>IF(Inputs!E30="","",MAX(Inputs!E30,0)/(1-Fin_Analysis!$I$84))</f>
        <v>0</v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0.18062822449870486</v>
      </c>
      <c r="D13" s="229">
        <f t="shared" si="3"/>
        <v>0.10996507548948402</v>
      </c>
      <c r="E13" s="229">
        <f t="shared" si="3"/>
        <v>0.12733956822813167</v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574319</v>
      </c>
      <c r="D14" s="230">
        <f t="shared" ref="D14:M14" si="4">IF(D6="","",D9-D10-MAX(D11,0)-MAX(D12,0))</f>
        <v>142319</v>
      </c>
      <c r="E14" s="230">
        <f t="shared" si="4"/>
        <v>161034</v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>
        <f>IF(D14="","",IF(ABS(C14+D14)=ABS(C14)+ABS(D14),IF(C14&lt;0,-1,1)*(C14-D14)/D14,"Turn"))</f>
        <v>3.0354344816925356</v>
      </c>
      <c r="D15" s="232">
        <f t="shared" ref="D15:M15" si="5">IF(E14="","",IF(ABS(D14+E14)=ABS(D14)+ABS(E14),IF(D14&lt;0,-1,1)*(D14-E14)/E14,"Turn"))</f>
        <v>-0.11621769315796664</v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241</v>
      </c>
      <c r="C17" s="199">
        <f>IF(Inputs!C29="","",Inputs!C29)</f>
        <v>18182</v>
      </c>
      <c r="D17" s="199">
        <f>IF(Inputs!D29="","",Inputs!D29)</f>
        <v>16973</v>
      </c>
      <c r="E17" s="199">
        <f>IF(Inputs!E29="","",Inputs!E29)</f>
        <v>11671</v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556137</v>
      </c>
      <c r="D22" s="161">
        <f t="shared" ref="D22:M22" si="8">IF(D6="","",D14-MAX(D16,0)-MAX(D17,0)-ABS(MAX(D21,0)-MAX(D19,0)))</f>
        <v>125346</v>
      </c>
      <c r="E22" s="161">
        <f t="shared" si="8"/>
        <v>149363</v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0.13118237280331518</v>
      </c>
      <c r="D23" s="153">
        <f t="shared" si="9"/>
        <v>7.2637959543199765E-2</v>
      </c>
      <c r="E23" s="153">
        <f t="shared" si="9"/>
        <v>8.8582938677197506E-2</v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417102.75</v>
      </c>
      <c r="D24" s="77">
        <f>IF(D6="","",D22*(1-Fin_Analysis!$I$84))</f>
        <v>94009.5</v>
      </c>
      <c r="E24" s="77">
        <f>IF(E6="","",E22*(1-Fin_Analysis!$I$84))</f>
        <v>112022.25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3.4368148963668563</v>
      </c>
      <c r="D25" s="233">
        <f t="shared" ref="D25:M25" si="10">IF(E24="","",IF(ABS(D24+E24)=ABS(D24)+ABS(E24),IF(D24&lt;0,-1,1)*(D24-E24)/E24,"Turn"))</f>
        <v>-0.16079618111580513</v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142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150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249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0.58108816177312361</v>
      </c>
      <c r="D42" s="156">
        <f t="shared" si="34"/>
        <v>0.58110831234256932</v>
      </c>
      <c r="E42" s="156">
        <f t="shared" si="34"/>
        <v>0.58801220620226269</v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221</v>
      </c>
      <c r="C43" s="153">
        <f t="shared" ref="C43:M43" si="35">IF(C6="","",(C10+MAX(C11,0))/C6)</f>
        <v>0.23828361372817153</v>
      </c>
      <c r="D43" s="153">
        <f t="shared" si="35"/>
        <v>0.3089266121679467</v>
      </c>
      <c r="E43" s="153">
        <f t="shared" si="35"/>
        <v>0.28464822556960562</v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5.7183940942846252E-3</v>
      </c>
      <c r="D45" s="153">
        <f t="shared" si="37"/>
        <v>1.311446276521766E-2</v>
      </c>
      <c r="E45" s="153">
        <f t="shared" si="37"/>
        <v>9.2289833252016638E-3</v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223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0.17490983040442024</v>
      </c>
      <c r="D48" s="153">
        <f t="shared" si="40"/>
        <v>9.6850612724266358E-2</v>
      </c>
      <c r="E48" s="153">
        <f t="shared" si="40"/>
        <v>0.11811058490293001</v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256</v>
      </c>
      <c r="C50" s="272" t="e">
        <f>IF(C6="","",C6/C27)</f>
        <v>#DIV/0!</v>
      </c>
      <c r="D50" s="272" t="e">
        <f t="shared" ref="D50:M50" si="41">IF(D6="","",D6/D27)</f>
        <v>#VALUE!</v>
      </c>
      <c r="E50" s="272" t="e">
        <f t="shared" si="41"/>
        <v>#VALUE!</v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257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258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247</v>
      </c>
      <c r="C53" s="153" t="e">
        <f>IF(D6="","",C16/(C6-D6))</f>
        <v>#VALUE!</v>
      </c>
      <c r="D53" s="153" t="e">
        <f t="shared" ref="D53:M53" si="44">IF(E6="","",D16/(D6-E6))</f>
        <v>#VALUE!</v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251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252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3.2693383105242051E-2</v>
      </c>
      <c r="D57" s="153">
        <f t="shared" si="47"/>
        <v>0.13540918736936161</v>
      </c>
      <c r="E57" s="153">
        <f t="shared" si="47"/>
        <v>7.8138494807951098E-2</v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253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254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e">
        <f t="shared" si="50"/>
        <v>#VALUE!</v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255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e">
        <f t="shared" si="51"/>
        <v>#VALUE!</v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183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122</v>
      </c>
      <c r="C74" s="77">
        <f>Data!C6</f>
        <v>3179564</v>
      </c>
      <c r="D74" s="209"/>
      <c r="E74" s="238">
        <f>Inputs!E91</f>
        <v>3179564</v>
      </c>
      <c r="F74" s="209"/>
      <c r="H74" s="238">
        <f>Inputs!F91</f>
        <v>3179564</v>
      </c>
      <c r="I74" s="209"/>
      <c r="K74" s="24"/>
    </row>
    <row r="75" spans="1:11" ht="15" customHeight="1" x14ac:dyDescent="0.4">
      <c r="B75" s="104" t="s">
        <v>102</v>
      </c>
      <c r="C75" s="77">
        <f>Data!C8</f>
        <v>1847607</v>
      </c>
      <c r="D75" s="159">
        <f>C75/$C$74</f>
        <v>0.58108816177312361</v>
      </c>
      <c r="E75" s="238">
        <f>Inputs!E92</f>
        <v>1847607</v>
      </c>
      <c r="F75" s="160">
        <f>E75/E74</f>
        <v>0.58108816177312361</v>
      </c>
      <c r="H75" s="238">
        <f>Inputs!F92</f>
        <v>1847607</v>
      </c>
      <c r="I75" s="160">
        <f>H75/$H$74</f>
        <v>0.58108816177312361</v>
      </c>
      <c r="K75" s="24"/>
    </row>
    <row r="76" spans="1:11" ht="15" customHeight="1" x14ac:dyDescent="0.4">
      <c r="B76" s="35" t="s">
        <v>92</v>
      </c>
      <c r="C76" s="161">
        <f>C74-C75</f>
        <v>1331957</v>
      </c>
      <c r="D76" s="210"/>
      <c r="E76" s="162">
        <f>E74-E75</f>
        <v>1331957</v>
      </c>
      <c r="F76" s="210"/>
      <c r="H76" s="162">
        <f>H74-H75</f>
        <v>1331957</v>
      </c>
      <c r="I76" s="210"/>
      <c r="K76" s="24"/>
    </row>
    <row r="77" spans="1:11" ht="15" customHeight="1" x14ac:dyDescent="0.4">
      <c r="B77" s="104" t="s">
        <v>233</v>
      </c>
      <c r="C77" s="77">
        <f>Data!C10+MAX(Data!C11,0)</f>
        <v>757638</v>
      </c>
      <c r="D77" s="159">
        <f>C77/$C$74</f>
        <v>0.23828361372817153</v>
      </c>
      <c r="E77" s="238">
        <f>Inputs!E93</f>
        <v>757638</v>
      </c>
      <c r="F77" s="160">
        <f>E77/E74</f>
        <v>0.23828361372817153</v>
      </c>
      <c r="H77" s="238">
        <f>Inputs!F93</f>
        <v>757638</v>
      </c>
      <c r="I77" s="160">
        <f>H77/$H$74</f>
        <v>0.23828361372817153</v>
      </c>
      <c r="K77" s="24"/>
    </row>
    <row r="78" spans="1:11" ht="15" customHeight="1" x14ac:dyDescent="0.4">
      <c r="B78" s="73" t="s">
        <v>162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219</v>
      </c>
      <c r="C79" s="257">
        <f>C76-C77-C78</f>
        <v>574319</v>
      </c>
      <c r="D79" s="258">
        <f>C79/C74</f>
        <v>0.18062822449870486</v>
      </c>
      <c r="E79" s="259">
        <f>E76-E77-E78</f>
        <v>574319</v>
      </c>
      <c r="F79" s="258">
        <f>E79/E74</f>
        <v>0.18062822449870486</v>
      </c>
      <c r="G79" s="260"/>
      <c r="H79" s="259">
        <f>H76-H77-H78</f>
        <v>574319</v>
      </c>
      <c r="I79" s="258">
        <f>H79/H74</f>
        <v>0.18062822449870486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241</v>
      </c>
      <c r="C81" s="77">
        <f>MAX(Data!C17,0)</f>
        <v>18182</v>
      </c>
      <c r="D81" s="159">
        <f>C81/$C$74</f>
        <v>5.7183940942846252E-3</v>
      </c>
      <c r="E81" s="180">
        <f>E74*F81</f>
        <v>18182</v>
      </c>
      <c r="F81" s="160">
        <f>I81</f>
        <v>5.7183940942846252E-3</v>
      </c>
      <c r="H81" s="238">
        <f>Inputs!F94</f>
        <v>18182</v>
      </c>
      <c r="I81" s="160">
        <f>H81/$H$74</f>
        <v>5.7183940942846252E-3</v>
      </c>
      <c r="K81" s="24"/>
    </row>
    <row r="82" spans="1:11" ht="15" customHeight="1" x14ac:dyDescent="0.4">
      <c r="B82" s="28" t="s">
        <v>232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556137</v>
      </c>
      <c r="D83" s="164">
        <f>C83/$C$74</f>
        <v>0.17490983040442024</v>
      </c>
      <c r="E83" s="165">
        <f>E79-E81-E82-E80</f>
        <v>556137</v>
      </c>
      <c r="F83" s="164">
        <f>E83/E74</f>
        <v>0.17490983040442024</v>
      </c>
      <c r="H83" s="165">
        <f>H79-H81-H82-H80</f>
        <v>556137</v>
      </c>
      <c r="I83" s="164">
        <f>H83/$H$74</f>
        <v>0.17490983040442024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157</v>
      </c>
      <c r="C85" s="257">
        <f>C83*(1-I84)</f>
        <v>417102.75</v>
      </c>
      <c r="D85" s="258">
        <f>C85/$C$74</f>
        <v>0.13118237280331518</v>
      </c>
      <c r="E85" s="264">
        <f>E83*(1-F84)</f>
        <v>417102.75</v>
      </c>
      <c r="F85" s="258">
        <f>E85/E74</f>
        <v>0.13118237280331518</v>
      </c>
      <c r="G85" s="260"/>
      <c r="H85" s="264">
        <f>H83*(1-I84)</f>
        <v>417102.75</v>
      </c>
      <c r="I85" s="258">
        <f>H85/$H$74</f>
        <v>0.13118237280331518</v>
      </c>
      <c r="K85" s="24"/>
    </row>
    <row r="86" spans="1:11" ht="15" customHeight="1" x14ac:dyDescent="0.4">
      <c r="B86" s="87" t="s">
        <v>153</v>
      </c>
      <c r="C86" s="167">
        <f>C85*Data!C4/Common_Shares</f>
        <v>2.4773470644729629</v>
      </c>
      <c r="D86" s="209"/>
      <c r="E86" s="168">
        <f>E85*Data!C4/Common_Shares</f>
        <v>2.4773470644729629</v>
      </c>
      <c r="F86" s="209"/>
      <c r="H86" s="168">
        <f>H85*Data!C4/Common_Shares</f>
        <v>2.4773470644729629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1.1387272406471027E-2</v>
      </c>
      <c r="D87" s="209"/>
      <c r="E87" s="262">
        <f>E86*Exchange_Rate/Dashboard!G3</f>
        <v>1.1387272406471027E-2</v>
      </c>
      <c r="F87" s="209"/>
      <c r="H87" s="262">
        <f>H86*Exchange_Rate/Dashboard!G3</f>
        <v>1.1387272406471027E-2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0</v>
      </c>
      <c r="D88" s="166">
        <f>C88/C86</f>
        <v>0</v>
      </c>
      <c r="E88" s="170">
        <f>Inputs!E98</f>
        <v>0</v>
      </c>
      <c r="F88" s="166">
        <f>E88/E86</f>
        <v>0</v>
      </c>
      <c r="H88" s="170">
        <f>Inputs!F98</f>
        <v>0</v>
      </c>
      <c r="I88" s="166">
        <f>H88/H86</f>
        <v>0</v>
      </c>
      <c r="K88" s="24"/>
    </row>
    <row r="89" spans="1:11" ht="15" customHeight="1" x14ac:dyDescent="0.4">
      <c r="B89" s="87" t="s">
        <v>208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HK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196</v>
      </c>
      <c r="F93" s="144">
        <f>FV(E87,D93,0,-(E86/(C93-D94)))*Exchange_Rate</f>
        <v>46.23438541032548</v>
      </c>
      <c r="H93" s="87" t="s">
        <v>196</v>
      </c>
      <c r="I93" s="144">
        <f>FV(H87,D93,0,-(H86/(C93-D94)))*Exchange_Rate</f>
        <v>46.23438541032548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0</v>
      </c>
      <c r="H94" s="87" t="s">
        <v>197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3870188.222381386</v>
      </c>
      <c r="D97" s="213"/>
      <c r="E97" s="123">
        <f>PV(C94,D93,0,-F93)</f>
        <v>22.986660796828506</v>
      </c>
      <c r="F97" s="213"/>
      <c r="H97" s="123">
        <f>PV(C94,D93,0,-I93)</f>
        <v>22.986660796828506</v>
      </c>
      <c r="I97" s="123">
        <f>PV(C93,D93,0,-I93)</f>
        <v>31.375455238101541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3870188.222381386</v>
      </c>
      <c r="D100" s="109">
        <f>MIN(F100*(1-C94),E100)</f>
        <v>19.53866167730423</v>
      </c>
      <c r="E100" s="109">
        <f>MAX(E97+H98+E99,0)</f>
        <v>22.986660796828506</v>
      </c>
      <c r="F100" s="109">
        <f>(E100+H100)/2</f>
        <v>22.986660796828506</v>
      </c>
      <c r="H100" s="109">
        <f>MAX(C100*Data!$C$4/Common_Shares,0)</f>
        <v>22.986660796828506</v>
      </c>
      <c r="I100" s="109">
        <f>MAX(I97+H98+H99,0)</f>
        <v>31.375455238101541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154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185</v>
      </c>
      <c r="C106" s="91">
        <f>E106*Common_Shares/Data!C4</f>
        <v>1935094.111190693</v>
      </c>
      <c r="D106" s="109">
        <f>(D100+D103)/2</f>
        <v>9.7693308386521149</v>
      </c>
      <c r="E106" s="123">
        <f>(E100+E103)/2</f>
        <v>11.493330398414253</v>
      </c>
      <c r="F106" s="109">
        <f>(F100+F103)/2</f>
        <v>11.493330398414253</v>
      </c>
      <c r="H106" s="123">
        <f>(H100+H103)/2</f>
        <v>11.493330398414253</v>
      </c>
      <c r="I106" s="123">
        <f>(I100+I103)/2</f>
        <v>15.68772761905077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