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341A82B-36EE-4380-A8FB-079B6C3A745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7" i="3"/>
  <c r="M53" i="2"/>
  <c r="F95" i="4" l="1"/>
  <c r="F96" i="4"/>
  <c r="F97" i="4"/>
  <c r="E92" i="4"/>
  <c r="F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I27" i="2"/>
  <c r="I55" i="2"/>
  <c r="K27" i="2"/>
  <c r="K55" i="2"/>
  <c r="J27" i="2"/>
  <c r="J55" i="2"/>
  <c r="K53" i="2"/>
  <c r="L50" i="2"/>
  <c r="J53" i="2"/>
  <c r="K50" i="2"/>
  <c r="H53" i="2"/>
  <c r="I50" i="2"/>
  <c r="F53" i="2"/>
  <c r="G50" i="2"/>
  <c r="I53" i="2"/>
  <c r="J50" i="2"/>
  <c r="G53" i="2"/>
  <c r="H50" i="2"/>
  <c r="E53" i="2"/>
  <c r="F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D55" i="2"/>
  <c r="F22" i="2"/>
  <c r="F61" i="2" s="1"/>
  <c r="F60" i="2"/>
  <c r="K15" i="2"/>
  <c r="L60" i="2"/>
  <c r="L15" i="2"/>
  <c r="M60" i="2"/>
  <c r="E22" i="2"/>
  <c r="E61" i="2" s="1"/>
  <c r="E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K59" i="2" s="1"/>
  <c r="E13" i="2"/>
  <c r="E59" i="2" s="1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M59" i="2" l="1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<sst xmlns="http://schemas.openxmlformats.org/spreadsheetml/2006/main" count="393" uniqueCount="273">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</sst>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9067251704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271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5.6851561799119897E-2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v>19073030</v>
      </c>
      <c r="D48" s="60">
        <v>0.9</v>
      </c>
      <c r="E48" s="112"/>
    </row>
    <row r="49" spans="2:5" ht="13.9" x14ac:dyDescent="0.4">
      <c r="B49" s="1" t="s">
        <v>131</v>
      </c>
      <c r="C49" s="59">
        <v>20972</v>
      </c>
      <c r="D49" s="60">
        <v>0.8</v>
      </c>
      <c r="E49" s="112"/>
    </row>
    <row r="50" spans="2:5" ht="13.9" x14ac:dyDescent="0.4">
      <c r="B50" s="3" t="s">
        <v>113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>
        <v>854264</v>
      </c>
      <c r="D54" s="60">
        <v>0.1</v>
      </c>
      <c r="E54" s="112"/>
    </row>
    <row r="55" spans="2:5" ht="13.9" x14ac:dyDescent="0.4">
      <c r="B55" s="3" t="s">
        <v>43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113569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45190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15244</v>
      </c>
      <c r="D70" s="60">
        <v>0.05</v>
      </c>
      <c r="E70" s="112"/>
    </row>
    <row r="71" spans="2:5" ht="13.9" x14ac:dyDescent="0.4">
      <c r="B71" s="3" t="s">
        <v>71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112402</v>
      </c>
      <c r="D72" s="248">
        <v>0</v>
      </c>
      <c r="E72" s="249"/>
    </row>
    <row r="73" spans="2:5" ht="13.9" x14ac:dyDescent="0.4">
      <c r="B73" s="3" t="s">
        <v>35</v>
      </c>
      <c r="C73" s="59">
        <v>510909</v>
      </c>
    </row>
    <row r="74" spans="2:5" ht="13.9" x14ac:dyDescent="0.4">
      <c r="B74" s="3" t="s">
        <v>36</v>
      </c>
      <c r="C74" s="59">
        <v>28807</v>
      </c>
    </row>
    <row r="75" spans="2:5" ht="13.9" x14ac:dyDescent="0.4">
      <c r="B75" s="3" t="s">
        <v>37</v>
      </c>
      <c r="C75" s="59">
        <v>0</v>
      </c>
    </row>
    <row r="76" spans="2:5" ht="13.9" x14ac:dyDescent="0.4">
      <c r="B76" s="86" t="s">
        <v>39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58</v>
      </c>
      <c r="C78" s="59">
        <v>756896</v>
      </c>
    </row>
    <row r="79" spans="2:5" ht="13.9" x14ac:dyDescent="0.4">
      <c r="B79" s="3" t="s">
        <v>60</v>
      </c>
      <c r="C79" s="59">
        <v>52067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1852861</v>
      </c>
    </row>
    <row r="83" spans="2:8" ht="14.25" thickTop="1" x14ac:dyDescent="0.4">
      <c r="B83" s="73" t="s">
        <v>207</v>
      </c>
      <c r="C83" s="59">
        <v>25617273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102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232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241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6186.HK</v>
      </c>
      <c r="D3" s="290"/>
      <c r="E3" s="87"/>
      <c r="F3" s="3" t="s">
        <v>1</v>
      </c>
      <c r="G3" s="132">
        <v>5.86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中国飞鹤</v>
      </c>
      <c r="D4" s="292"/>
      <c r="E4" s="87"/>
      <c r="F4" s="3" t="s">
        <v>2</v>
      </c>
      <c r="G4" s="295">
        <f>Inputs!C10</f>
        <v>9067251704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45605</v>
      </c>
      <c r="D5" s="294"/>
      <c r="E5" s="34"/>
      <c r="F5" s="35" t="s">
        <v>96</v>
      </c>
      <c r="G5" s="287">
        <f>G3*G4/1000000</f>
        <v>53134.094985440002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>
        <f>C23*C22*(1/C21)</f>
        <v>0.15971157429598379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>
        <f>Data!C55</f>
        <v>0.71940071079975576</v>
      </c>
      <c r="F21" s="87"/>
      <c r="G21" s="29"/>
    </row>
    <row r="22" spans="1:8" ht="15.75" customHeight="1" x14ac:dyDescent="0.4">
      <c r="B22" s="279" t="s">
        <v>260</v>
      </c>
      <c r="C22" s="280">
        <f>Data!C50</f>
        <v>0.54851586746509362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0.20946817929344683</v>
      </c>
      <c r="F23" s="140" t="s">
        <v>176</v>
      </c>
      <c r="G23" s="177">
        <f>G3/(Data!C36*Data!C4/Common_Shares*Exchange_Rate)</f>
        <v>1.8376571929918371</v>
      </c>
    </row>
    <row r="24" spans="1:8" ht="15.75" customHeight="1" x14ac:dyDescent="0.4">
      <c r="B24" s="137" t="s">
        <v>262</v>
      </c>
      <c r="C24" s="171">
        <f>Fin_Analysis!I81</f>
        <v>2.7202256703967287E-3</v>
      </c>
      <c r="F24" s="140" t="s">
        <v>244</v>
      </c>
      <c r="G24" s="268">
        <f>G3/(Fin_Analysis!H86*G7)</f>
        <v>16.408807062448922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0.93286630876064991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5.6851561799119897E-2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3.8593339593582088</v>
      </c>
      <c r="D29" s="129">
        <f>G29*(1+G20)</f>
        <v>6.7047324039404366</v>
      </c>
      <c r="E29" s="87"/>
      <c r="F29" s="131">
        <f>IF(Fin_Analysis!C108="Profit",Fin_Analysis!F100,IF(Fin_Analysis!C108="Dividend",Fin_Analysis!F103,Fin_Analysis!F106))</f>
        <v>4.5403928933625988</v>
      </c>
      <c r="G29" s="286">
        <f>IF(Fin_Analysis!C108="Profit",Fin_Analysis!I100,IF(Fin_Analysis!C108="Dividend",Fin_Analysis!I103,Fin_Analysis!I106))</f>
        <v>5.830202090382989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>
        <f>IF(C6="","",C6/C27)</f>
        <v>0.54851586746509362</v>
      </c>
      <c r="D50" s="272">
        <f t="shared" ref="D50:M50" si="41">IF(D6="","",D6/D27)</f>
        <v>0.58878636798481809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1.5792995802879992E-2</v>
      </c>
      <c r="D51" s="153">
        <f t="shared" si="42"/>
        <v>2.0232994960849439E-2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0.1095241023247608</v>
      </c>
      <c r="D52" s="153">
        <f t="shared" si="43"/>
        <v>0.10595777294217949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>
        <f>IF(D6="","",C16/(C6-D6))</f>
        <v>0.18998161609687811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>
        <f>IF(C36="","",(C36-C37)/C27)</f>
        <v>0.71940071079975576</v>
      </c>
      <c r="D55" s="156">
        <f t="shared" ref="D55:M55" si="45">IF(D36="","",(D36-D37)/D27)</f>
        <v>0.68918582450160215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2.9729097204175368</v>
      </c>
      <c r="D56" s="157">
        <f t="shared" si="46"/>
        <v>2.9732033660634771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1.3157207230966536E-2</v>
      </c>
      <c r="D57" s="153">
        <f t="shared" si="47"/>
        <v>6.9141487036622033E-3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3.3364014362803656</v>
      </c>
      <c r="D58" s="158">
        <f t="shared" si="48"/>
        <v>3.055211094750502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>
        <f>IF(C14="","",C14/(C36-C37))</f>
        <v>0.15971157429598382</v>
      </c>
      <c r="D60" s="274">
        <f t="shared" ref="D60:M60" si="50">IF(D14="","",D14/(D36-D37))</f>
        <v>0.22958180147126375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>
        <f>IF(C22="","",C22/(C36-C37))</f>
        <v>0.15763750497564671</v>
      </c>
      <c r="D61" s="274">
        <f t="shared" ref="D61:M61" si="51">IF(D22="","",D22/(D36-D37))</f>
        <v>0.19504562710363152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25617273</v>
      </c>
      <c r="K3" s="24"/>
    </row>
    <row r="4" spans="1:11" ht="15" customHeight="1" x14ac:dyDescent="0.4">
      <c r="B4" s="3" t="s">
        <v>23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3.3364014362803656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8811353.5995718837</v>
      </c>
      <c r="E6" s="56">
        <f>1-D6/D3</f>
        <v>0.67418099894471251</v>
      </c>
      <c r="F6" s="87"/>
      <c r="G6" s="87"/>
      <c r="H6" s="1" t="s">
        <v>26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1.0389855917988211</v>
      </c>
      <c r="E7" s="11" t="str">
        <f>Dashboard!H3</f>
        <v>HKD</v>
      </c>
      <c r="H7" s="1" t="s">
        <v>27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35</v>
      </c>
      <c r="I11" s="40">
        <f>Inputs!C73</f>
        <v>510909</v>
      </c>
      <c r="J11" s="87"/>
      <c r="K11" s="24"/>
    </row>
    <row r="12" spans="1:11" ht="13.9" x14ac:dyDescent="0.4">
      <c r="B12" s="1" t="s">
        <v>131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36</v>
      </c>
      <c r="I12" s="40">
        <f>Inputs!C74</f>
        <v>28807</v>
      </c>
      <c r="J12" s="87"/>
      <c r="K12" s="24"/>
    </row>
    <row r="13" spans="1:11" ht="13.9" x14ac:dyDescent="0.4">
      <c r="B13" s="3" t="s">
        <v>113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9668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549384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51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52</v>
      </c>
      <c r="I25" s="63">
        <f>E28/I28</f>
        <v>2.7593765144056333</v>
      </c>
    </row>
    <row r="26" spans="2:10" ht="15" customHeight="1" x14ac:dyDescent="0.4">
      <c r="B26" s="23" t="s">
        <v>53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54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756896</v>
      </c>
      <c r="J30" s="87"/>
    </row>
    <row r="31" spans="2:10" ht="15" customHeight="1" x14ac:dyDescent="0.4">
      <c r="B31" s="3" t="s">
        <v>59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60</v>
      </c>
      <c r="I31" s="40">
        <f>Inputs!C79</f>
        <v>52067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808963</v>
      </c>
      <c r="J34" s="87"/>
    </row>
    <row r="35" spans="2:10" ht="13.9" x14ac:dyDescent="0.4">
      <c r="B35" s="3" t="s">
        <v>66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77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79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81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82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1426434</v>
      </c>
      <c r="D53" s="29">
        <f>IF(E53=0, 0,E53/C53)</f>
        <v>1.8376571929918371</v>
      </c>
      <c r="E53" s="88">
        <f>IF(C53=0,0,MAX(C53,C53*Dashboard!G23))</f>
        <v>2621296.700428118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1358347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102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92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153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6.0942882452952409E-2</v>
      </c>
      <c r="D87" s="209"/>
      <c r="E87" s="262">
        <f>E86*Exchange_Rate/Dashboard!G3</f>
        <v>6.0942882452952409E-2</v>
      </c>
      <c r="F87" s="209"/>
      <c r="H87" s="262">
        <f>H86*Exchange_Rate/Dashboard!G3</f>
        <v>6.0942882452952409E-2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208</v>
      </c>
      <c r="C89" s="261">
        <f>C88*Exchange_Rate/Dashboard!G3</f>
        <v>5.6851561799119897E-2</v>
      </c>
      <c r="D89" s="209"/>
      <c r="E89" s="261">
        <f>E88*Exchange_Rate/Dashboard!G3</f>
        <v>5.6851561799119897E-2</v>
      </c>
      <c r="F89" s="209"/>
      <c r="H89" s="261">
        <f>H88*Exchange_Rate/Dashboard!G3</f>
        <v>5.6851561799119897E-2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7.245940155495278</v>
      </c>
      <c r="H93" s="87" t="s">
        <v>196</v>
      </c>
      <c r="I93" s="144">
        <f>FV(H87,D93,0,-(H86/(C93-D94)))*Exchange_Rate</f>
        <v>7.245940155495278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6.6301614046523429</v>
      </c>
      <c r="H94" s="87" t="s">
        <v>197</v>
      </c>
      <c r="I94" s="144">
        <f>FV(H89,D93,0,-(H88/(C93-D94)))*Exchange_Rate</f>
        <v>6.6301614046523429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32664890.965318214</v>
      </c>
      <c r="D97" s="213"/>
      <c r="E97" s="123">
        <f>PV(C94,D93,0,-F93)</f>
        <v>3.6025128706759251</v>
      </c>
      <c r="F97" s="213"/>
      <c r="H97" s="123">
        <f>PV(C94,D93,0,-I93)</f>
        <v>3.6025128706759251</v>
      </c>
      <c r="I97" s="123">
        <f>PV(C93,D93,0,-I93)</f>
        <v>4.7912164985841681</v>
      </c>
      <c r="K97" s="24"/>
    </row>
    <row r="98" spans="2:11" ht="15" customHeight="1" x14ac:dyDescent="0.4">
      <c r="B98" s="28" t="s">
        <v>140</v>
      </c>
      <c r="C98" s="91">
        <f>-E53*Exchange_Rate</f>
        <v>-2802584.7065441557</v>
      </c>
      <c r="D98" s="213"/>
      <c r="E98" s="213"/>
      <c r="F98" s="213"/>
      <c r="H98" s="123">
        <f>C98*Data!$C$4/Common_Shares</f>
        <v>-0.30908866302981319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12223328.584213465</v>
      </c>
      <c r="D99" s="214"/>
      <c r="E99" s="145">
        <f>IF(H99&gt;0,H99*(1-C94),H99*(1+C94))</f>
        <v>1.1458631166043391</v>
      </c>
      <c r="F99" s="214"/>
      <c r="H99" s="145">
        <f>C99*Data!$C$4/Common_Shares</f>
        <v>1.3480742548286344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42085634.842987522</v>
      </c>
      <c r="D100" s="109">
        <f>MIN(F100*(1-C94),E100)</f>
        <v>3.8593339593582088</v>
      </c>
      <c r="E100" s="109">
        <f>MAX(E97+H98+E99,0)</f>
        <v>4.4392873242504507</v>
      </c>
      <c r="F100" s="109">
        <f>(E100+H100)/2</f>
        <v>4.5403928933625988</v>
      </c>
      <c r="H100" s="109">
        <f>MAX(C100*Data!$C$4/Common_Shares,0)</f>
        <v>4.6414984624747468</v>
      </c>
      <c r="I100" s="109">
        <f>MAX(I97+H98+H99,0)</f>
        <v>5.830202090382989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29888943.976604853</v>
      </c>
      <c r="D103" s="109">
        <f>MIN(F103*(1-C94),E103)</f>
        <v>2.8019077014159093</v>
      </c>
      <c r="E103" s="123">
        <f>PV(C94,D93,0,-F94)</f>
        <v>3.2963620016657758</v>
      </c>
      <c r="F103" s="109">
        <f>(E103+H103)/2</f>
        <v>3.2963620016657758</v>
      </c>
      <c r="H103" s="123">
        <f>PV(C94,D93,0,-I94)</f>
        <v>3.2963620016657758</v>
      </c>
      <c r="I103" s="109">
        <f>PV(C93,D93,0,-I94)</f>
        <v>4.3840465182637116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35070539.765980177</v>
      </c>
      <c r="D106" s="109">
        <f>(D100+D103)/2</f>
        <v>3.3306208303870593</v>
      </c>
      <c r="E106" s="123">
        <f>(E100+E103)/2</f>
        <v>3.867824662958113</v>
      </c>
      <c r="F106" s="109">
        <f>(F100+F103)/2</f>
        <v>3.918377447514187</v>
      </c>
      <c r="H106" s="123">
        <f>(H100+H103)/2</f>
        <v>3.9689302320702611</v>
      </c>
      <c r="I106" s="123">
        <f>(I100+I103)/2</f>
        <v>5.1071243043233503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