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BF6226-976D-442F-A57F-2C28F0EB64E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7" i="3"/>
  <c r="M53" i="2"/>
  <c r="E92" i="4" l="1"/>
  <c r="F97" i="4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E55" i="2"/>
  <c r="D55" i="2"/>
  <c r="M27" i="2"/>
  <c r="M55" i="2"/>
  <c r="J53" i="2"/>
  <c r="K50" i="2"/>
  <c r="H53" i="2"/>
  <c r="I50" i="2"/>
  <c r="K53" i="2"/>
  <c r="L50" i="2"/>
  <c r="I53" i="2"/>
  <c r="J50" i="2"/>
  <c r="G53" i="2"/>
  <c r="H50" i="2"/>
  <c r="E53" i="2"/>
  <c r="F50" i="2"/>
  <c r="F53" i="2"/>
  <c r="D53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50" i="2"/>
  <c r="F55" i="2"/>
  <c r="G50" i="2"/>
  <c r="G55" i="2"/>
  <c r="F22" i="2"/>
  <c r="F61" i="2" s="1"/>
  <c r="F60" i="2"/>
  <c r="K15" i="2"/>
  <c r="L60" i="2"/>
  <c r="L15" i="2"/>
  <c r="M60" i="2"/>
  <c r="E22" i="2"/>
  <c r="E61" i="2" s="1"/>
  <c r="E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K59" i="2" s="1"/>
  <c r="E13" i="2"/>
  <c r="L13" i="2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G57" i="2"/>
  <c r="E57" i="2"/>
  <c r="L59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<sst xmlns="http://schemas.openxmlformats.org/spreadsheetml/2006/main" count="393" uniqueCount="272">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</sst>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1333333500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6.6993089753685287E-2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2385307</v>
      </c>
      <c r="D48" s="60">
        <v>0.9</v>
      </c>
      <c r="E48" s="112"/>
    </row>
    <row r="49" spans="2:5" ht="13.9" x14ac:dyDescent="0.4">
      <c r="B49" s="1" t="s">
        <v>131</v>
      </c>
      <c r="C49" s="59">
        <v>0</v>
      </c>
      <c r="D49" s="60">
        <v>0.8</v>
      </c>
      <c r="E49" s="112"/>
    </row>
    <row r="50" spans="2:5" ht="13.9" x14ac:dyDescent="0.4">
      <c r="B50" s="3" t="s">
        <v>113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0</v>
      </c>
      <c r="D51" s="60">
        <v>0.6</v>
      </c>
      <c r="E51" s="112"/>
    </row>
    <row r="52" spans="2:5" ht="13.9" x14ac:dyDescent="0.4">
      <c r="B52" s="3" t="s">
        <v>40</v>
      </c>
      <c r="C52" s="59">
        <v>253051</v>
      </c>
      <c r="D52" s="60">
        <v>0.5</v>
      </c>
      <c r="E52" s="112"/>
    </row>
    <row r="53" spans="2:5" ht="13.9" x14ac:dyDescent="0.4">
      <c r="B53" s="1" t="s">
        <v>151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246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245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1500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9704</v>
      </c>
      <c r="D70" s="60">
        <v>0.05</v>
      </c>
      <c r="E70" s="112"/>
    </row>
    <row r="71" spans="2:5" ht="13.9" x14ac:dyDescent="0.4">
      <c r="B71" s="3" t="s">
        <v>71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20583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30946</v>
      </c>
    </row>
    <row r="83" spans="2:8" ht="14.25" thickTop="1" x14ac:dyDescent="0.4">
      <c r="B83" s="73" t="s">
        <v>207</v>
      </c>
      <c r="C83" s="59">
        <v>3023302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270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102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232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240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231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194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6601.HK</v>
      </c>
      <c r="D3" s="290"/>
      <c r="E3" s="87"/>
      <c r="F3" s="3" t="s">
        <v>1</v>
      </c>
      <c r="G3" s="132">
        <v>1.88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朝云集团</v>
      </c>
      <c r="D4" s="292"/>
      <c r="E4" s="87"/>
      <c r="F4" s="3" t="s">
        <v>2</v>
      </c>
      <c r="G4" s="295">
        <f>Inputs!C10</f>
        <v>1333333500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2506.66698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3.3811375773905486E-2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0.82375007799368372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0.44019362596109335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6.3272436919134561E-2</v>
      </c>
      <c r="F23" s="140" t="s">
        <v>176</v>
      </c>
      <c r="G23" s="177">
        <f>G3/(Data!C36*Data!C4/Common_Shares*Exchange_Rate)</f>
        <v>0.77446136982752822</v>
      </c>
    </row>
    <row r="24" spans="1:8" ht="15.75" customHeight="1" x14ac:dyDescent="0.4">
      <c r="B24" s="137" t="s">
        <v>261</v>
      </c>
      <c r="C24" s="171">
        <f>Fin_Analysis!I81</f>
        <v>6.208277497005729E-4</v>
      </c>
      <c r="F24" s="140" t="s">
        <v>243</v>
      </c>
      <c r="G24" s="268">
        <f>G3/(Fin_Analysis!H86*G7)</f>
        <v>38.805164197407507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2.5996778479834153</v>
      </c>
    </row>
    <row r="26" spans="1:8" ht="15.75" customHeight="1" x14ac:dyDescent="0.4">
      <c r="B26" s="138" t="s">
        <v>263</v>
      </c>
      <c r="C26" s="171">
        <f>Fin_Analysis!I80+Fin_Analysis!I82</f>
        <v>1.2789175437999239E-2</v>
      </c>
      <c r="F26" s="141" t="s">
        <v>180</v>
      </c>
      <c r="G26" s="178">
        <f>Fin_Analysis!H88*Exchange_Rate/G3</f>
        <v>6.6993089753685287E-2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1.3562194150857825</v>
      </c>
      <c r="D29" s="129">
        <f>G29*(1+G20)</f>
        <v>2.2299599160981964</v>
      </c>
      <c r="E29" s="87"/>
      <c r="F29" s="131">
        <f>IF(Fin_Analysis!C108="Profit",Fin_Analysis!F100,IF(Fin_Analysis!C108="Dividend",Fin_Analysis!F103,Fin_Analysis!F106))</f>
        <v>1.5955522530420969</v>
      </c>
      <c r="G29" s="286">
        <f>IF(Fin_Analysis!C108="Profit",Fin_Analysis!I100,IF(Fin_Analysis!C108="Dividend",Fin_Analysis!I103,Fin_Analysis!I106))</f>
        <v>1.9390955792158233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0.44019362596109335</v>
      </c>
      <c r="D50" s="272">
        <f t="shared" ref="D50:M50" si="41">IF(D6="","",D6/D27)</f>
        <v>0.40429673471749017</v>
      </c>
      <c r="E50" s="272">
        <f t="shared" si="41"/>
        <v>0.50917806267601273</v>
      </c>
      <c r="F50" s="272">
        <f t="shared" si="41"/>
        <v>1.0287665950664771</v>
      </c>
      <c r="G50" s="272">
        <f t="shared" si="41"/>
        <v>1.1136771822092058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0.11203000770618693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9.7865479067953717E-2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-1.0019710323355846</v>
      </c>
      <c r="D53" s="153">
        <f t="shared" ref="D53:M53" si="44">IF(E6="","",D16/(D6-E6))</f>
        <v>0.15765272743621306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0.82375007799368372</v>
      </c>
      <c r="D55" s="156">
        <f t="shared" ref="D55:M55" si="45">IF(D36="","",(D36-D37)/D27)</f>
        <v>0.78735209922197424</v>
      </c>
      <c r="E55" s="156">
        <f t="shared" si="45"/>
        <v>0.78679909685756511</v>
      </c>
      <c r="F55" s="156">
        <f t="shared" si="45"/>
        <v>0.14969617263341631</v>
      </c>
      <c r="G55" s="156">
        <f t="shared" si="45"/>
        <v>1.0653738992249997E-2</v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2.369393217447572</v>
      </c>
      <c r="D56" s="157">
        <f t="shared" si="46"/>
        <v>-1.2060310581437341</v>
      </c>
      <c r="E56" s="157">
        <f t="shared" si="46"/>
        <v>5.3942585015762292</v>
      </c>
      <c r="F56" s="157">
        <f t="shared" si="46"/>
        <v>0.92325313885928983</v>
      </c>
      <c r="G56" s="157">
        <f t="shared" si="46"/>
        <v>20.080950024740229</v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1.2450811226833175E-2</v>
      </c>
      <c r="D57" s="153">
        <f t="shared" si="47"/>
        <v>-4.3070319908169882E-2</v>
      </c>
      <c r="E57" s="153">
        <f t="shared" si="47"/>
        <v>2.0056451512626985E-2</v>
      </c>
      <c r="F57" s="153">
        <f t="shared" si="47"/>
        <v>9.3355027935918562E-3</v>
      </c>
      <c r="G57" s="153">
        <f t="shared" si="47"/>
        <v>1.4735016114883846E-3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4.8753437887604978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3.3811375773905486E-2</v>
      </c>
      <c r="D60" s="274">
        <f t="shared" ref="D60:M60" si="50">IF(D14="","",D14/(D36-D37))</f>
        <v>4.7279796654279974E-4</v>
      </c>
      <c r="E60" s="274">
        <f t="shared" si="50"/>
        <v>3.0008475503162126E-2</v>
      </c>
      <c r="F60" s="274">
        <f t="shared" si="50"/>
        <v>1.1545980515259548</v>
      </c>
      <c r="G60" s="274">
        <f t="shared" si="50"/>
        <v>15.355674777089316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2.6645369863811157E-2</v>
      </c>
      <c r="D61" s="274">
        <f t="shared" ref="D61:M61" si="51">IF(D22="","",D22/(D36-D37))</f>
        <v>-7.1122018435571159E-3</v>
      </c>
      <c r="E61" s="274">
        <f t="shared" si="51"/>
        <v>2.9418445869993756E-2</v>
      </c>
      <c r="F61" s="274">
        <f t="shared" si="51"/>
        <v>1.143918992575127</v>
      </c>
      <c r="G61" s="274">
        <f t="shared" si="51"/>
        <v>15.333081456853559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3023302</v>
      </c>
      <c r="K3" s="24"/>
    </row>
    <row r="4" spans="1:11" ht="15" customHeight="1" x14ac:dyDescent="0.4">
      <c r="B4" s="3" t="s">
        <v>23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1983621.5</v>
      </c>
      <c r="E6" s="56">
        <f>1-D6/D3</f>
        <v>0.34475382619185724</v>
      </c>
      <c r="F6" s="87"/>
      <c r="G6" s="87"/>
      <c r="H6" s="1" t="s">
        <v>26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1.5906058775192919</v>
      </c>
      <c r="E7" s="11" t="str">
        <f>Dashboard!H3</f>
        <v>HKD</v>
      </c>
      <c r="H7" s="1" t="s">
        <v>27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113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50</v>
      </c>
      <c r="I15" s="84">
        <f>SUM(I11:I14)</f>
        <v>13416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51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52</v>
      </c>
      <c r="I25" s="63">
        <f>E28/I28</f>
        <v>4.0303138752571774</v>
      </c>
    </row>
    <row r="26" spans="2:10" ht="15" customHeight="1" x14ac:dyDescent="0.4">
      <c r="B26" s="23" t="s">
        <v>53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54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56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60</v>
      </c>
      <c r="I31" s="40">
        <f>Inputs!C79</f>
        <v>20583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20583</v>
      </c>
      <c r="J34" s="87"/>
    </row>
    <row r="35" spans="2:10" ht="13.9" x14ac:dyDescent="0.4">
      <c r="B35" s="3" t="s">
        <v>66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77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79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81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82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33999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102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92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162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219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121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153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2.5769765975292742E-2</v>
      </c>
      <c r="D87" s="209"/>
      <c r="E87" s="262">
        <f>E86*Exchange_Rate/Dashboard!G3</f>
        <v>2.5769765975292742E-2</v>
      </c>
      <c r="F87" s="209"/>
      <c r="H87" s="262">
        <f>H86*Exchange_Rate/Dashboard!G3</f>
        <v>2.5769765975292742E-2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208</v>
      </c>
      <c r="C89" s="261">
        <f>C88*Exchange_Rate/Dashboard!G3</f>
        <v>6.6993089753685287E-2</v>
      </c>
      <c r="D89" s="209"/>
      <c r="E89" s="261">
        <f>E88*Exchange_Rate/Dashboard!G3</f>
        <v>6.6993089753685287E-2</v>
      </c>
      <c r="F89" s="209"/>
      <c r="H89" s="261">
        <f>H88*Exchange_Rate/Dashboard!G3</f>
        <v>6.6993089753685287E-2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0.83048522961211391</v>
      </c>
      <c r="H93" s="87" t="s">
        <v>196</v>
      </c>
      <c r="I93" s="144">
        <f>FV(H87,D93,0,-(H86/(C93-D94)))*Exchange_Rate</f>
        <v>0.83048522961211391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2.6291175771032562</v>
      </c>
      <c r="H94" s="87" t="s">
        <v>197</v>
      </c>
      <c r="I94" s="144">
        <f>FV(H89,D93,0,-(H88/(C93-D94)))*Exchange_Rate</f>
        <v>2.6291175771032562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550530.64904565772</v>
      </c>
      <c r="D97" s="213"/>
      <c r="E97" s="123">
        <f>PV(C94,D93,0,-F93)</f>
        <v>0.41289793517200146</v>
      </c>
      <c r="F97" s="213"/>
      <c r="H97" s="123">
        <f>PV(C94,D93,0,-I93)</f>
        <v>0.41289793517200146</v>
      </c>
      <c r="I97" s="123">
        <f>PV(C93,D93,0,-I93)</f>
        <v>0.54913985605171545</v>
      </c>
      <c r="K97" s="24"/>
    </row>
    <row r="98" spans="2:11" ht="15" customHeight="1" x14ac:dyDescent="0.4">
      <c r="B98" s="28" t="s">
        <v>140</v>
      </c>
      <c r="C98" s="91">
        <f>-E53*Exchange_Rate</f>
        <v>-4265.9470701217651</v>
      </c>
      <c r="D98" s="213"/>
      <c r="E98" s="213"/>
      <c r="F98" s="213"/>
      <c r="H98" s="123">
        <f>C98*Data!$C$4/Common_Shares</f>
        <v>-3.1994599026588361E-3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2125074.0488634906</v>
      </c>
      <c r="D99" s="214"/>
      <c r="E99" s="145">
        <f>IF(H99&gt;0,H99*(1-C94),H99*(1+C94))</f>
        <v>1.3547345368086581</v>
      </c>
      <c r="F99" s="214"/>
      <c r="H99" s="145">
        <f>C99*Data!$C$4/Common_Shares</f>
        <v>1.5938053374219507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2671338.7508390266</v>
      </c>
      <c r="D100" s="109">
        <f>MIN(F100*(1-C94),E100)</f>
        <v>1.60137315052695</v>
      </c>
      <c r="E100" s="109">
        <f>MAX(E97+H98+E99,0)</f>
        <v>1.7644330120780007</v>
      </c>
      <c r="F100" s="109">
        <f>(E100+H100)/2</f>
        <v>1.883968412384647</v>
      </c>
      <c r="H100" s="109">
        <f>MAX(C100*Data!$C$4/Common_Shares,0)</f>
        <v>2.0035038126912932</v>
      </c>
      <c r="I100" s="109">
        <f>MAX(I97+H98+H99,0)</f>
        <v>2.1397457335710075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1742848.3427887447</v>
      </c>
      <c r="D103" s="109">
        <f>MIN(F103*(1-C94),E103)</f>
        <v>1.1110656796446148</v>
      </c>
      <c r="E103" s="123">
        <f>PV(C94,D93,0,-F94)</f>
        <v>1.3071360936995469</v>
      </c>
      <c r="F103" s="109">
        <f>(E103+H103)/2</f>
        <v>1.3071360936995469</v>
      </c>
      <c r="H103" s="123">
        <f>PV(C94,D93,0,-I94)</f>
        <v>1.3071360936995469</v>
      </c>
      <c r="I103" s="109">
        <f>PV(C93,D93,0,-I94)</f>
        <v>1.7384454248606394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2047712.9931491241</v>
      </c>
      <c r="D106" s="109">
        <f>(D100+D103)/2</f>
        <v>1.3562194150857825</v>
      </c>
      <c r="E106" s="123">
        <f>(E100+E103)/2</f>
        <v>1.5357845528887739</v>
      </c>
      <c r="F106" s="109">
        <f>(F100+F103)/2</f>
        <v>1.5955522530420969</v>
      </c>
      <c r="H106" s="123">
        <f>(H100+H103)/2</f>
        <v>1.6553199531954199</v>
      </c>
      <c r="I106" s="123">
        <f>(I100+I103)/2</f>
        <v>1.9390955792158233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