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08111DD8-B3B8-4B77-9C31-DADFC01631CA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5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B7" i="3"/>
  <c r="M53" i="2"/>
  <c r="F93" i="4" l="1"/>
  <c r="F94" i="4"/>
  <c r="E95" i="4"/>
  <c r="F96" i="4"/>
  <c r="F97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D55" i="2" s="1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M27" i="2" l="1"/>
  <c r="M55" i="2"/>
  <c r="K27" i="2"/>
  <c r="K55" i="2"/>
  <c r="J27" i="2"/>
  <c r="J55" i="2"/>
  <c r="I27" i="2"/>
  <c r="I55" i="2"/>
  <c r="J53" i="2"/>
  <c r="K50" i="2"/>
  <c r="H53" i="2"/>
  <c r="I50" i="2"/>
  <c r="G53" i="2"/>
  <c r="H50" i="2"/>
  <c r="E53" i="2"/>
  <c r="F50" i="2"/>
  <c r="F53" i="2"/>
  <c r="G50" i="2"/>
  <c r="K53" i="2"/>
  <c r="L50" i="2"/>
  <c r="I53" i="2"/>
  <c r="J50" i="2"/>
  <c r="D53" i="2"/>
  <c r="E50" i="2"/>
  <c r="C53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E27" i="2"/>
  <c r="E39" i="2" s="1"/>
  <c r="D52" i="2"/>
  <c r="H35" i="2"/>
  <c r="D51" i="2"/>
  <c r="G35" i="2"/>
  <c r="F35" i="2"/>
  <c r="D27" i="2"/>
  <c r="D39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D50" i="2" l="1"/>
  <c r="E22" i="2"/>
  <c r="E61" i="2" s="1"/>
  <c r="E60" i="2"/>
  <c r="F22" i="2"/>
  <c r="F61" i="2" s="1"/>
  <c r="F60" i="2"/>
  <c r="K15" i="2"/>
  <c r="L60" i="2"/>
  <c r="D22" i="2"/>
  <c r="D61" i="2" s="1"/>
  <c r="D60" i="2"/>
  <c r="L15" i="2"/>
  <c r="M60" i="2"/>
  <c r="G22" i="2"/>
  <c r="G61" i="2" s="1"/>
  <c r="G60" i="2"/>
  <c r="J15" i="2"/>
  <c r="K60" i="2"/>
  <c r="H103" i="3"/>
  <c r="I103" i="3"/>
  <c r="D93" i="4"/>
  <c r="D97" i="4"/>
  <c r="D92" i="4"/>
  <c r="C22" i="2"/>
  <c r="F3" i="2"/>
  <c r="H22" i="2"/>
  <c r="H61" i="2" s="1"/>
  <c r="M13" i="2"/>
  <c r="F15" i="2"/>
  <c r="H15" i="2"/>
  <c r="G15" i="2"/>
  <c r="C15" i="2"/>
  <c r="H74" i="3" s="1"/>
  <c r="G57" i="2"/>
  <c r="D15" i="2"/>
  <c r="E15" i="2"/>
  <c r="K13" i="2"/>
  <c r="E13" i="2"/>
  <c r="E59" i="2" s="1"/>
  <c r="L13" i="2"/>
  <c r="E40" i="2"/>
  <c r="G13" i="2"/>
  <c r="G59" i="2" s="1"/>
  <c r="E57" i="2"/>
  <c r="D40" i="2"/>
  <c r="D13" i="2"/>
  <c r="G40" i="2"/>
  <c r="K56" i="2"/>
  <c r="L24" i="2"/>
  <c r="L23" i="2" s="1"/>
  <c r="M57" i="2"/>
  <c r="M56" i="2"/>
  <c r="D59" i="2" l="1"/>
  <c r="D56" i="2"/>
  <c r="L59" i="2"/>
  <c r="M59" i="2"/>
  <c r="K59" i="2"/>
  <c r="H75" i="3"/>
  <c r="H77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3" i="1" l="1"/>
  <c r="F94" i="3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25" i="1" l="1"/>
  <c r="C35" i="2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F80" i="3"/>
  <c r="E80" i="3" s="1"/>
  <c r="E76" i="3"/>
  <c r="E79" i="3" s="1"/>
  <c r="H76" i="3"/>
  <c r="H79" i="3" s="1"/>
  <c r="D83" i="3"/>
  <c r="D85" i="3"/>
  <c r="C86" i="3"/>
  <c r="C87" i="3" s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C39" i="2"/>
  <c r="C40" i="2" s="1"/>
  <c r="D49" i="3"/>
  <c r="D68" i="3"/>
  <c r="D4" i="3"/>
  <c r="C53" i="3" s="1"/>
  <c r="C36" i="2"/>
  <c r="J28" i="3"/>
  <c r="E99" i="3" l="1"/>
  <c r="G23" i="1"/>
  <c r="E53" i="3" s="1"/>
  <c r="C27" i="2"/>
  <c r="C50" i="2" s="1"/>
  <c r="C37" i="2"/>
  <c r="C55" i="2" s="1"/>
  <c r="C21" i="1" s="1"/>
  <c r="C22" i="1" l="1"/>
  <c r="C20" i="1" s="1"/>
  <c r="C59" i="2"/>
  <c r="C60" i="2"/>
  <c r="C61" i="2"/>
  <c r="C98" i="3"/>
  <c r="D6" i="3"/>
  <c r="H98" i="3"/>
  <c r="D95" i="4" l="1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/>
  <c r="F29" i="1" s="1"/>
  <c r="C29" i="1" l="1"/>
  <c r="D106" i="3"/>
</calcChain>
</file>

<file path=xl/sharedStrings.xml><?xml version="1.0" encoding="utf-8"?>
<sst xmlns="http://schemas.openxmlformats.org/spreadsheetml/2006/main" count="393" uniqueCount="273">
  <si>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</si>
  <si>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</si>
  <si>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</si>
  <si>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</si>
  <si>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</si>
  <si>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</si>
  <si>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</si>
  <si>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</si>
  <si>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</si>
  <si>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</si>
  <si>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</si>
  <si>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</si>
  <si>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</si>
  <si>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</si>
  <si>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</si>
  <si>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</si>
  <si>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</si>
  <si>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</si>
  <si>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</si>
  <si>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</si>
  <si>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</si>
  <si>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</si>
  <si>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</si>
  <si>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</si>
  <si>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</si>
  <si>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</si>
  <si>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</si>
  <si>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</si>
  <si>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</si>
  <si>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</si>
  <si>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</si>
  <si>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</si>
  <si>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</si>
  <si>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</si>
  <si>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</si>
  <si>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</si>
  <si>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</si>
  <si>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</si>
  <si>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</si>
  <si>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</si>
  <si>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</si>
  <si>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</si>
  <si>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</si>
  <si>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</si>
  <si>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</si>
  <si>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</si>
  <si>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</si>
  <si>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</si>
  <si>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</si>
  <si>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</si>
  <si>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</si>
  <si>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</si>
  <si>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</si>
  <si>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</si>
  <si>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</si>
  <si>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</si>
  <si>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</si>
  <si>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</si>
  <si>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</si>
  <si>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</si>
  <si>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</si>
  <si>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</si>
  <si>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</si>
  <si>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</si>
  <si>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</si>
  <si>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</si>
  <si>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</si>
  <si>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</si>
  <si>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</si>
  <si>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</si>
  <si>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</si>
  <si>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</si>
  <si>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</si>
  <si>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</si>
  <si>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</si>
  <si>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</si>
  <si>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</si>
  <si>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</si>
  <si>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</si>
  <si>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</si>
  <si>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</si>
  <si>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</si>
  <si>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</si>
  <si>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</si>
  <si>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</si>
  <si>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</si>
  <si>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</si>
  <si>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</si>
  <si>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</si>
  <si>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</si>
  <si>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</si>
  <si>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</si>
  <si>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</si>
  <si>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</si>
  <si>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</si>
  <si>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</si>
  <si>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</si>
  <si>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</si>
  <si>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</si>
  <si>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</si>
  <si>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</si>
  <si>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</si>
  <si>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</si>
  <si>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</si>
  <si>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</si>
  <si>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</si>
  <si>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</si>
  <si>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</si>
  <si>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</si>
  <si>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</si>
  <si>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</si>
  <si>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</si>
  <si>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</si>
  <si>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</si>
  <si>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</si>
  <si>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</si>
  <si>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</si>
  <si>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</si>
  <si>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</si>
  <si>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</si>
  <si>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</si>
  <si>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</si>
  <si>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</si>
  <si>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</si>
  <si>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</si>
  <si>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</si>
  <si>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</si>
  <si>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</si>
  <si>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</si>
  <si>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</si>
  <si>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</si>
  <si>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</si>
  <si>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</si>
  <si>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</si>
  <si>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</si>
  <si>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</si>
  <si>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</si>
  <si>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</si>
  <si>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</si>
  <si>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</si>
  <si>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</si>
  <si>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</si>
  <si>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</si>
  <si>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</si>
  <si>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</si>
  <si>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</si>
  <si>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</si>
  <si>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</si>
  <si>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</si>
  <si>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</si>
  <si>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</si>
  <si>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</si>
  <si>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</si>
  <si>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</si>
  <si>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</si>
  <si>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</si>
  <si>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</si>
  <si>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</si>
  <si>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</si>
  <si>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</si>
  <si>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</si>
  <si>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</si>
  <si>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</si>
  <si>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</si>
  <si>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</si>
  <si>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</si>
  <si>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</si>
  <si>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</si>
  <si>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</si>
  <si>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</si>
  <si>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</si>
  <si>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</si>
  <si>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</si>
  <si>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</si>
  <si>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</si>
  <si>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</si>
  <si>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</si>
  <si>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</si>
  <si>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</si>
  <si>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</si>
  <si>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</si>
  <si>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</si>
  <si>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</si>
  <si>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</si>
  <si>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</si>
  <si>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</si>
  <si>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</si>
  <si>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</si>
  <si>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</si>
  <si>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</si>
  <si>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</si>
  <si>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</si>
  <si>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</si>
  <si>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</si>
  <si>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</si>
  <si>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</si>
  <si>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</si>
  <si>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</si>
  <si>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</si>
  <si>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</si>
  <si>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</si>
  <si>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</si>
  <si>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</si>
  <si>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</si>
  <si>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</si>
  <si>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</si>
  <si>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</si>
  <si>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</si>
  <si>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</si>
  <si>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</si>
  <si>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</si>
  <si>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</si>
  <si>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</si>
  <si>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</si>
  <si>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</si>
  <si>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</si>
  <si>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</si>
  <si>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</si>
  <si>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</si>
  <si>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</si>
  <si>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</si>
  <si>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</si>
  <si>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</si>
  <si>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</si>
  <si>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</si>
  <si>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</si>
  <si>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</si>
  <si>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</si>
  <si>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</si>
  <si>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</si>
  <si>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</si>
  <si>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</si>
  <si>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</si>
  <si>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</si>
  <si>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</si>
  <si>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</si>
  <si>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</si>
  <si>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</si>
  <si>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</si>
  <si>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</si>
  <si>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</si>
  <si>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</si>
  <si>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</si>
  <si>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</si>
  <si>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</si>
  <si>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</si>
  <si>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</si>
  <si>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</si>
  <si>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</si>
  <si>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</si>
  <si>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</si>
  <si>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</si>
  <si>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</si>
  <si>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</si>
  <si>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</si>
  <si>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</si>
  <si>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</si>
  <si>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</si>
  <si>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</si>
  <si>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</si>
  <si>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</si>
  <si>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</si>
  <si>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</si>
  <si>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6818.HK</t>
  </si>
  <si>
    <t>中国光大银行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</si>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</sst>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201</v>
      </c>
    </row>
    <row r="4" spans="1:5" ht="13.9" x14ac:dyDescent="0.4">
      <c r="B4" s="141" t="s">
        <v>181</v>
      </c>
      <c r="C4" s="188" t="s">
        <v>263</v>
      </c>
    </row>
    <row r="5" spans="1:5" ht="13.9" x14ac:dyDescent="0.4">
      <c r="B5" s="141" t="s">
        <v>182</v>
      </c>
      <c r="C5" s="191" t="s">
        <v>264</v>
      </c>
    </row>
    <row r="6" spans="1:5" ht="13.9" x14ac:dyDescent="0.4">
      <c r="B6" s="141" t="s">
        <v>156</v>
      </c>
      <c r="C6" s="189">
        <v>45606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202</v>
      </c>
      <c r="C8" s="191" t="s">
        <v>265</v>
      </c>
      <c r="E8" s="267"/>
    </row>
    <row r="9" spans="1:5" ht="13.9" x14ac:dyDescent="0.4">
      <c r="B9" s="140" t="s">
        <v>203</v>
      </c>
      <c r="C9" s="192" t="s">
        <v>266</v>
      </c>
    </row>
    <row r="10" spans="1:5" ht="13.9" x14ac:dyDescent="0.4">
      <c r="B10" s="140" t="s">
        <v>204</v>
      </c>
      <c r="C10" s="193">
        <v>59085551061</v>
      </c>
    </row>
    <row r="11" spans="1:5" ht="13.9" x14ac:dyDescent="0.4">
      <c r="B11" s="140" t="s">
        <v>205</v>
      </c>
      <c r="C11" s="192" t="s">
        <v>267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206</v>
      </c>
      <c r="C14" s="219">
        <v>45473</v>
      </c>
    </row>
    <row r="15" spans="1:5" ht="13.9" x14ac:dyDescent="0.4">
      <c r="B15" s="218" t="s">
        <v>238</v>
      </c>
      <c r="C15" s="176" t="s">
        <v>242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211</v>
      </c>
      <c r="C17" s="242" t="s">
        <v>268</v>
      </c>
      <c r="D17" s="24"/>
    </row>
    <row r="18" spans="2:13" ht="13.9" x14ac:dyDescent="0.4">
      <c r="B18" s="240" t="s">
        <v>225</v>
      </c>
      <c r="C18" s="242" t="s">
        <v>269</v>
      </c>
      <c r="D18" s="24"/>
    </row>
    <row r="19" spans="2:13" ht="13.9" x14ac:dyDescent="0.4">
      <c r="B19" s="240" t="s">
        <v>226</v>
      </c>
      <c r="C19" s="242" t="s">
        <v>269</v>
      </c>
      <c r="D19" s="24"/>
    </row>
    <row r="20" spans="2:13" ht="13.9" x14ac:dyDescent="0.4">
      <c r="B20" s="241" t="s">
        <v>215</v>
      </c>
      <c r="C20" s="242" t="s">
        <v>269</v>
      </c>
      <c r="D20" s="24"/>
    </row>
    <row r="21" spans="2:13" ht="13.9" x14ac:dyDescent="0.4">
      <c r="B21" s="224" t="s">
        <v>218</v>
      </c>
      <c r="C21" s="242" t="s">
        <v>268</v>
      </c>
      <c r="D21" s="24"/>
    </row>
    <row r="22" spans="2:13" ht="78.75" x14ac:dyDescent="0.4">
      <c r="B22" s="226" t="s">
        <v>217</v>
      </c>
      <c r="C22" s="243" t="s">
        <v>270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277533</v>
      </c>
      <c r="D25" s="149">
        <v>271386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55101</v>
      </c>
      <c r="D26" s="150">
        <v>53933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v>43909</v>
      </c>
      <c r="D27" s="150">
        <v>45277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239</v>
      </c>
      <c r="C29" s="150">
        <v>143329</v>
      </c>
      <c r="D29" s="150">
        <v>127654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v>284</v>
      </c>
      <c r="D30" s="150">
        <v>233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113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142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112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133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246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132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194</v>
      </c>
      <c r="C44" s="250">
        <f>0.173+0.104</f>
        <v>0.27699999999999997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235</v>
      </c>
      <c r="C45" s="152">
        <f>IF(C44="","",C44*Exchange_Rate/Dashboard!$G$3)</f>
        <v>0.10539403120111034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233</v>
      </c>
      <c r="C47" s="194" t="s">
        <v>30</v>
      </c>
      <c r="D47" s="194" t="s">
        <v>183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151</v>
      </c>
      <c r="C53" s="59"/>
      <c r="D53" s="60">
        <f>D50</f>
        <v>0.6</v>
      </c>
      <c r="E53" s="112"/>
    </row>
    <row r="54" spans="2:5" ht="13.9" x14ac:dyDescent="0.4">
      <c r="B54" s="3" t="s">
        <v>244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116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152</v>
      </c>
      <c r="C63" s="59"/>
      <c r="D63" s="60">
        <f>D62</f>
        <v>0.5</v>
      </c>
      <c r="E63" s="112"/>
    </row>
    <row r="64" spans="2:5" ht="13.9" x14ac:dyDescent="0.4">
      <c r="B64" s="3" t="s">
        <v>243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21" t="s">
        <v>67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115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6" t="s">
        <v>72</v>
      </c>
      <c r="C72" s="247"/>
      <c r="D72" s="248">
        <v>0</v>
      </c>
      <c r="E72" s="249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/>
    </row>
    <row r="83" spans="2:8" ht="14.25" thickTop="1" x14ac:dyDescent="0.4">
      <c r="B83" s="73" t="s">
        <v>207</v>
      </c>
      <c r="C83" s="59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234</v>
      </c>
      <c r="C86" s="197">
        <v>5</v>
      </c>
    </row>
    <row r="87" spans="2:8" ht="13.9" x14ac:dyDescent="0.4">
      <c r="B87" s="10" t="s">
        <v>232</v>
      </c>
      <c r="C87" s="236" t="s">
        <v>271</v>
      </c>
      <c r="D87" s="269">
        <v>0.02</v>
      </c>
    </row>
    <row r="89" spans="2:8" ht="13.5" x14ac:dyDescent="0.35">
      <c r="B89" s="106" t="s">
        <v>123</v>
      </c>
      <c r="C89" s="283">
        <f>C24</f>
        <v>45291</v>
      </c>
      <c r="D89" s="283"/>
      <c r="E89" s="89" t="s">
        <v>193</v>
      </c>
      <c r="F89" s="89" t="s">
        <v>192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84" t="s">
        <v>97</v>
      </c>
      <c r="D90" s="284"/>
      <c r="E90" s="235" t="s">
        <v>98</v>
      </c>
      <c r="F90" s="255" t="s">
        <v>98</v>
      </c>
    </row>
    <row r="91" spans="2:8" ht="13.9" x14ac:dyDescent="0.4">
      <c r="B91" s="3" t="s">
        <v>122</v>
      </c>
      <c r="C91" s="77">
        <f>C25</f>
        <v>277533</v>
      </c>
      <c r="D91" s="209"/>
      <c r="E91" s="251">
        <f>C91</f>
        <v>277533</v>
      </c>
      <c r="F91" s="251">
        <f>C91</f>
        <v>277533</v>
      </c>
    </row>
    <row r="92" spans="2:8" ht="13.9" x14ac:dyDescent="0.4">
      <c r="B92" s="104" t="s">
        <v>102</v>
      </c>
      <c r="C92" s="77">
        <f>C26</f>
        <v>55101</v>
      </c>
      <c r="D92" s="159">
        <f>C92/C91</f>
        <v>0.19853855217217412</v>
      </c>
      <c r="E92" s="252">
        <f>E91*D92</f>
        <v>55101</v>
      </c>
      <c r="F92" s="252">
        <f>F91*D92</f>
        <v>55101</v>
      </c>
    </row>
    <row r="93" spans="2:8" ht="13.9" x14ac:dyDescent="0.4">
      <c r="B93" s="104" t="s">
        <v>231</v>
      </c>
      <c r="C93" s="77">
        <f>C27+C28</f>
        <v>43909</v>
      </c>
      <c r="D93" s="159">
        <f>C93/C91</f>
        <v>0.15821181625248168</v>
      </c>
      <c r="E93" s="252">
        <f>E91*D93</f>
        <v>43909</v>
      </c>
      <c r="F93" s="252">
        <f>F91*D93</f>
        <v>43909</v>
      </c>
    </row>
    <row r="94" spans="2:8" ht="13.9" x14ac:dyDescent="0.4">
      <c r="B94" s="104" t="s">
        <v>239</v>
      </c>
      <c r="C94" s="77">
        <f>C29</f>
        <v>143329</v>
      </c>
      <c r="D94" s="159">
        <f>C94/C91</f>
        <v>0.51643948647548221</v>
      </c>
      <c r="E94" s="253"/>
      <c r="F94" s="252">
        <f>F91*D94</f>
        <v>143329</v>
      </c>
    </row>
    <row r="95" spans="2:8" ht="13.9" x14ac:dyDescent="0.4">
      <c r="B95" s="28" t="s">
        <v>230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162</v>
      </c>
      <c r="C97" s="77">
        <f>MAX(C30,0)/(1-C16)</f>
        <v>378.66666666666669</v>
      </c>
      <c r="D97" s="159">
        <f>C97/C91</f>
        <v>1.3644023113167324E-3</v>
      </c>
      <c r="E97" s="253"/>
      <c r="F97" s="252">
        <f>F91*D97</f>
        <v>378.66666666666669</v>
      </c>
    </row>
    <row r="98" spans="2:7" ht="13.9" x14ac:dyDescent="0.4">
      <c r="B98" s="86" t="s">
        <v>194</v>
      </c>
      <c r="C98" s="237">
        <f>C44</f>
        <v>0.27699999999999997</v>
      </c>
      <c r="D98" s="266"/>
      <c r="E98" s="254">
        <f>F98</f>
        <v>0.21</v>
      </c>
      <c r="F98" s="254">
        <v>0.21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B20" sqref="B2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6818.HK : 中国光大银行</v>
      </c>
      <c r="D2" s="87"/>
      <c r="E2" s="7"/>
      <c r="F2" s="7"/>
      <c r="G2" s="86"/>
      <c r="H2" s="86"/>
    </row>
    <row r="3" spans="1:10" ht="15.75" customHeight="1" x14ac:dyDescent="0.4">
      <c r="B3" s="3" t="s">
        <v>181</v>
      </c>
      <c r="C3" s="289" t="str">
        <f>Inputs!C4</f>
        <v>6818.HK</v>
      </c>
      <c r="D3" s="290"/>
      <c r="E3" s="87"/>
      <c r="F3" s="3" t="s">
        <v>1</v>
      </c>
      <c r="G3" s="132">
        <v>2.81</v>
      </c>
      <c r="H3" s="134" t="s">
        <v>272</v>
      </c>
    </row>
    <row r="4" spans="1:10" ht="15.75" customHeight="1" x14ac:dyDescent="0.4">
      <c r="B4" s="35" t="s">
        <v>182</v>
      </c>
      <c r="C4" s="291" t="str">
        <f>Inputs!C5</f>
        <v>中国光大银行</v>
      </c>
      <c r="D4" s="292"/>
      <c r="E4" s="87"/>
      <c r="F4" s="3" t="s">
        <v>2</v>
      </c>
      <c r="G4" s="295">
        <f>Inputs!C10</f>
        <v>59085551061</v>
      </c>
      <c r="H4" s="295"/>
      <c r="I4" s="39"/>
    </row>
    <row r="5" spans="1:10" ht="15.75" customHeight="1" x14ac:dyDescent="0.4">
      <c r="B5" s="3" t="s">
        <v>156</v>
      </c>
      <c r="C5" s="293">
        <f>Inputs!C6</f>
        <v>45606</v>
      </c>
      <c r="D5" s="294"/>
      <c r="E5" s="34"/>
      <c r="F5" s="35" t="s">
        <v>96</v>
      </c>
      <c r="G5" s="287">
        <f>G3*G4/1000000</f>
        <v>166030.39848141</v>
      </c>
      <c r="H5" s="287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179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1.0691596666971843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178</v>
      </c>
      <c r="F9" s="143" t="s">
        <v>173</v>
      </c>
    </row>
    <row r="10" spans="1:10" ht="15.75" customHeight="1" x14ac:dyDescent="0.4">
      <c r="B10" s="1" t="s">
        <v>164</v>
      </c>
      <c r="C10" s="172">
        <v>4.2000000000000003E-2</v>
      </c>
      <c r="F10" s="110" t="s">
        <v>171</v>
      </c>
    </row>
    <row r="11" spans="1:10" ht="15.75" customHeight="1" thickBot="1" x14ac:dyDescent="0.45">
      <c r="B11" s="122" t="s">
        <v>168</v>
      </c>
      <c r="C11" s="173">
        <v>5.2299999999999999E-2</v>
      </c>
      <c r="D11" s="137" t="s">
        <v>177</v>
      </c>
      <c r="F11" s="110" t="s">
        <v>166</v>
      </c>
    </row>
    <row r="12" spans="1:10" ht="15.75" customHeight="1" thickTop="1" x14ac:dyDescent="0.4">
      <c r="B12" s="87" t="s">
        <v>236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165</v>
      </c>
      <c r="C14" s="172">
        <v>1.8100000000000002E-2</v>
      </c>
      <c r="F14" s="110" t="s">
        <v>170</v>
      </c>
    </row>
    <row r="15" spans="1:10" ht="15.75" customHeight="1" x14ac:dyDescent="0.4">
      <c r="B15" s="1" t="s">
        <v>174</v>
      </c>
      <c r="C15" s="172">
        <v>6.5000000000000002E-2</v>
      </c>
      <c r="F15" s="110" t="s">
        <v>169</v>
      </c>
    </row>
    <row r="16" spans="1:10" ht="15.75" customHeight="1" thickBot="1" x14ac:dyDescent="0.45">
      <c r="B16" s="122" t="s">
        <v>175</v>
      </c>
      <c r="C16" s="173">
        <v>0.16</v>
      </c>
      <c r="D16" s="265" t="str">
        <f>Inputs!C15</f>
        <v>CN</v>
      </c>
      <c r="F16" s="110" t="s">
        <v>167</v>
      </c>
    </row>
    <row r="17" spans="1:8" ht="15.75" customHeight="1" thickTop="1" x14ac:dyDescent="0.4">
      <c r="B17" s="87" t="s">
        <v>237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262</v>
      </c>
      <c r="C19" s="135" t="s">
        <v>48</v>
      </c>
      <c r="D19" s="87"/>
      <c r="E19" s="87"/>
      <c r="F19" s="142" t="s">
        <v>199</v>
      </c>
      <c r="G19" s="87"/>
      <c r="H19" s="87"/>
    </row>
    <row r="20" spans="1:8" ht="15.75" customHeight="1" thickBot="1" x14ac:dyDescent="0.45">
      <c r="B20" s="275" t="s">
        <v>252</v>
      </c>
      <c r="C20" s="276" t="e">
        <f>C23*C22*(1/C21)</f>
        <v>#DIV/0!</v>
      </c>
      <c r="F20" s="87" t="s">
        <v>198</v>
      </c>
      <c r="G20" s="172">
        <v>0.15</v>
      </c>
    </row>
    <row r="21" spans="1:8" ht="15.75" customHeight="1" thickTop="1" x14ac:dyDescent="0.4">
      <c r="B21" s="277" t="s">
        <v>250</v>
      </c>
      <c r="C21" s="278" t="e">
        <f>Data!C55</f>
        <v>#DIV/0!</v>
      </c>
      <c r="F21" s="87"/>
      <c r="G21" s="29"/>
    </row>
    <row r="22" spans="1:8" ht="15.75" customHeight="1" x14ac:dyDescent="0.4">
      <c r="B22" s="279" t="s">
        <v>257</v>
      </c>
      <c r="C22" s="280" t="e">
        <f>Data!C50</f>
        <v>#DIV/0!</v>
      </c>
      <c r="F22" s="142" t="s">
        <v>172</v>
      </c>
    </row>
    <row r="23" spans="1:8" ht="15.75" customHeight="1" thickBot="1" x14ac:dyDescent="0.45">
      <c r="B23" s="281" t="s">
        <v>258</v>
      </c>
      <c r="C23" s="282">
        <f>Data!C13</f>
        <v>0.64188522926402747</v>
      </c>
      <c r="F23" s="140" t="s">
        <v>176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259</v>
      </c>
      <c r="C24" s="171">
        <f>Fin_Analysis!I81</f>
        <v>0.51643948647548221</v>
      </c>
      <c r="F24" s="140" t="s">
        <v>241</v>
      </c>
      <c r="G24" s="268">
        <f>G3/(Fin_Analysis!H86*G7)</f>
        <v>5.9472092919543957</v>
      </c>
    </row>
    <row r="25" spans="1:8" ht="15.75" customHeight="1" x14ac:dyDescent="0.4">
      <c r="B25" s="137" t="s">
        <v>260</v>
      </c>
      <c r="C25" s="171">
        <f>Fin_Analysis!I80</f>
        <v>0</v>
      </c>
      <c r="F25" s="140" t="s">
        <v>163</v>
      </c>
      <c r="G25" s="171">
        <f>Fin_Analysis!I88</f>
        <v>0.47519160993470294</v>
      </c>
    </row>
    <row r="26" spans="1:8" ht="15.75" customHeight="1" x14ac:dyDescent="0.4">
      <c r="B26" s="138" t="s">
        <v>261</v>
      </c>
      <c r="C26" s="171">
        <f>Fin_Analysis!I80+Fin_Analysis!I82</f>
        <v>0</v>
      </c>
      <c r="F26" s="141" t="s">
        <v>180</v>
      </c>
      <c r="G26" s="178">
        <f>Fin_Analysis!H88*Exchange_Rate/G3</f>
        <v>7.9901612101924799E-2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159</v>
      </c>
      <c r="D28" s="43" t="s">
        <v>160</v>
      </c>
      <c r="E28" s="58"/>
      <c r="F28" s="53" t="s">
        <v>224</v>
      </c>
      <c r="G28" s="285" t="s">
        <v>240</v>
      </c>
      <c r="H28" s="285"/>
    </row>
    <row r="29" spans="1:8" ht="15.75" customHeight="1" x14ac:dyDescent="0.4">
      <c r="B29" s="87" t="s">
        <v>161</v>
      </c>
      <c r="C29" s="130">
        <f>IF(Fin_Analysis!C108="Profit",Fin_Analysis!D100,IF(Fin_Analysis!C108="Dividend",Fin_Analysis!D103,Fin_Analysis!D106))</f>
        <v>2.1034231553403089</v>
      </c>
      <c r="D29" s="129">
        <f>G29*(1+G20)</f>
        <v>3.7848251387212803</v>
      </c>
      <c r="E29" s="87"/>
      <c r="F29" s="131">
        <f>IF(Fin_Analysis!C108="Profit",Fin_Analysis!F100,IF(Fin_Analysis!C108="Dividend",Fin_Analysis!F103,Fin_Analysis!F106))</f>
        <v>2.4746154768709516</v>
      </c>
      <c r="G29" s="286">
        <f>IF(Fin_Analysis!C108="Profit",Fin_Analysis!I100,IF(Fin_Analysis!C108="Dividend",Fin_Analysis!I103,Fin_Analysis!I106))</f>
        <v>3.291152294540244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209</v>
      </c>
      <c r="C31"/>
    </row>
    <row r="32" spans="1:8" ht="15.75" customHeight="1" x14ac:dyDescent="0.4">
      <c r="A32"/>
      <c r="B32" s="196" t="s">
        <v>210</v>
      </c>
      <c r="C32" s="224"/>
    </row>
    <row r="33" spans="1:3" ht="15.75" customHeight="1" x14ac:dyDescent="0.4">
      <c r="A33"/>
      <c r="B33" s="20" t="s">
        <v>211</v>
      </c>
      <c r="C33" s="245" t="str">
        <f>Inputs!C17</f>
        <v>Strongly agree</v>
      </c>
    </row>
    <row r="34" spans="1:3" ht="15.75" customHeight="1" x14ac:dyDescent="0.4">
      <c r="A34"/>
      <c r="B34" s="19" t="s">
        <v>212</v>
      </c>
      <c r="C34" s="225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3" ht="15.75" customHeight="1" x14ac:dyDescent="0.4">
      <c r="A35"/>
      <c r="B35" s="196" t="s">
        <v>213</v>
      </c>
      <c r="C35" s="224"/>
    </row>
    <row r="36" spans="1:3" ht="15.75" customHeight="1" x14ac:dyDescent="0.4">
      <c r="A36"/>
      <c r="B36" s="20" t="s">
        <v>225</v>
      </c>
      <c r="C36" s="245" t="str">
        <f>Inputs!C18</f>
        <v>agree</v>
      </c>
    </row>
    <row r="37" spans="1:3" ht="15.75" customHeight="1" x14ac:dyDescent="0.4">
      <c r="A37"/>
      <c r="B37" s="20" t="s">
        <v>226</v>
      </c>
      <c r="C37" s="245" t="str">
        <f>Inputs!C19</f>
        <v>agree</v>
      </c>
    </row>
    <row r="38" spans="1:3" ht="15.75" customHeight="1" x14ac:dyDescent="0.4">
      <c r="A38"/>
      <c r="B38" s="196" t="s">
        <v>214</v>
      </c>
      <c r="C38" s="224"/>
    </row>
    <row r="39" spans="1:3" ht="15.75" customHeight="1" x14ac:dyDescent="0.4">
      <c r="A39"/>
      <c r="B39" s="19" t="s">
        <v>215</v>
      </c>
      <c r="C39" s="245" t="str">
        <f>Inputs!C20</f>
        <v>agree</v>
      </c>
    </row>
    <row r="40" spans="1:3" ht="15.75" customHeight="1" x14ac:dyDescent="0.4">
      <c r="A40"/>
      <c r="B40" s="1" t="s">
        <v>218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216</v>
      </c>
      <c r="C42"/>
    </row>
    <row r="43" spans="1:3" ht="65.650000000000006" x14ac:dyDescent="0.4">
      <c r="A43"/>
      <c r="B43" s="226" t="s">
        <v>217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186</v>
      </c>
      <c r="F2" s="119" t="s">
        <v>189</v>
      </c>
      <c r="G2" s="148" t="s">
        <v>190</v>
      </c>
      <c r="H2" s="147" t="s">
        <v>191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187</v>
      </c>
      <c r="F3" s="85" t="str">
        <f>H14</f>
        <v/>
      </c>
      <c r="G3" s="85">
        <f>C14</f>
        <v>178144.33333333334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188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277533</v>
      </c>
      <c r="D6" s="200">
        <f>IF(Inputs!D25="","",Inputs!D25)</f>
        <v>271386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2.2650394640843619E-2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55101</v>
      </c>
      <c r="D8" s="199">
        <f>IF(Inputs!D26="","",Inputs!D26)</f>
        <v>53933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222432</v>
      </c>
      <c r="D9" s="151">
        <f t="shared" si="2"/>
        <v>217453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43909</v>
      </c>
      <c r="D10" s="199">
        <f>IF(Inputs!D27="","",Inputs!D27)</f>
        <v>45277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227</v>
      </c>
      <c r="C12" s="199">
        <f>IF(Inputs!C30="","",MAX(Inputs!C30,0)/(1-Fin_Analysis!$I$84))</f>
        <v>378.66666666666669</v>
      </c>
      <c r="D12" s="199">
        <f>IF(Inputs!D30="","",MAX(Inputs!D30,0)/(1-Fin_Analysis!$I$84))</f>
        <v>310.66666666666669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228</v>
      </c>
      <c r="C13" s="229">
        <f t="shared" ref="C13:M13" si="3">IF(C14="","",C14/C6)</f>
        <v>0.64188522926402747</v>
      </c>
      <c r="D13" s="229">
        <f t="shared" si="3"/>
        <v>0.63328739630391151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220</v>
      </c>
      <c r="C14" s="230">
        <f>IF(C6="","",C9-C10-MAX(C11,0)-MAX(C12,0))</f>
        <v>178144.33333333334</v>
      </c>
      <c r="D14" s="230">
        <f t="shared" ref="D14:M14" si="4">IF(D6="","",D9-D10-MAX(D11,0)-MAX(D12,0))</f>
        <v>171865.33333333334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229</v>
      </c>
      <c r="C15" s="232">
        <f>IF(D14="","",IF(ABS(C14+D14)=ABS(C14)+ABS(D14),IF(C14&lt;0,-1,1)*(C14-D14)/D14,"Turn"))</f>
        <v>3.6534418420623896E-2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239</v>
      </c>
      <c r="C17" s="199">
        <f>IF(Inputs!C29="","",Inputs!C29)</f>
        <v>143329</v>
      </c>
      <c r="D17" s="199">
        <f>IF(Inputs!D29="","",Inputs!D29)</f>
        <v>127654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222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34815.333333333343</v>
      </c>
      <c r="D22" s="161">
        <f t="shared" ref="D22:M22" si="8">IF(D6="","",D14-MAX(D16,0)-MAX(D17,0)-ABS(MAX(D21,0)-MAX(D19,0)))</f>
        <v>44211.333333333343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9.408430709140897E-2</v>
      </c>
      <c r="D23" s="153">
        <f t="shared" si="9"/>
        <v>0.12218205802804864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26111.500000000007</v>
      </c>
      <c r="D24" s="77">
        <f>IF(D6="","",D22*(1-Fin_Analysis!$I$84))</f>
        <v>33158.500000000007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124</v>
      </c>
      <c r="C25" s="233">
        <f>IF(D24="","",IF(ABS(C24+D24)=ABS(C24)+ABS(D24),IF(C24&lt;0,-1,1)*(C24-D24)/D24,"Turn"))</f>
        <v>-0.21252469200959026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113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142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112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133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134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132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136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150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247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94</v>
      </c>
      <c r="C42" s="156">
        <f t="shared" ref="C42:M42" si="34">IF(C6="","",C8/C6)</f>
        <v>0.19853855217217412</v>
      </c>
      <c r="D42" s="156">
        <f t="shared" si="34"/>
        <v>0.19873169581334335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221</v>
      </c>
      <c r="C43" s="153">
        <f t="shared" ref="C43:M43" si="35">IF(C6="","",(C10+MAX(C11,0))/C6)</f>
        <v>0.15821181625248168</v>
      </c>
      <c r="D43" s="153">
        <f t="shared" si="35"/>
        <v>0.16683616693565623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105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118</v>
      </c>
      <c r="C45" s="153">
        <f t="shared" ref="C45:M45" si="37">IF(C6="","",MAX(C17,0)/C6)</f>
        <v>0.51643948647548221</v>
      </c>
      <c r="D45" s="153">
        <f t="shared" si="37"/>
        <v>0.47037798559984673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125</v>
      </c>
      <c r="C46" s="153">
        <f>IF(C6="","",MAX(C12,0)/C6)</f>
        <v>1.3644023113167324E-3</v>
      </c>
      <c r="D46" s="153">
        <f t="shared" ref="D46:M46" si="38">IF(D6="","",MAX(D12,0)/D6)</f>
        <v>1.1447409470888943E-3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223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120</v>
      </c>
      <c r="C48" s="153">
        <f t="shared" ref="C48:M48" si="40">IF(C6="","",C22/C6)</f>
        <v>0.12544574278854531</v>
      </c>
      <c r="D48" s="153">
        <f t="shared" si="40"/>
        <v>0.16290941070406484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248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254</v>
      </c>
      <c r="C50" s="272" t="e">
        <f>IF(C6="","",C6/C27)</f>
        <v>#DIV/0!</v>
      </c>
      <c r="D50" s="272" t="e">
        <f t="shared" ref="D50:M50" si="41">IF(D6="","",D6/D27)</f>
        <v>#VALUE!</v>
      </c>
      <c r="E50" s="272" t="str">
        <f t="shared" si="41"/>
        <v/>
      </c>
      <c r="F50" s="272" t="str">
        <f t="shared" si="41"/>
        <v/>
      </c>
      <c r="G50" s="272" t="str">
        <f t="shared" si="41"/>
        <v/>
      </c>
      <c r="H50" s="272" t="str">
        <f t="shared" si="41"/>
        <v/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255</v>
      </c>
      <c r="C51" s="153">
        <f t="shared" ref="C51:M51" si="42">IF(C29="","",C29/C6)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256</v>
      </c>
      <c r="C52" s="153">
        <f t="shared" ref="C52:M52" si="43">IF(C30="","",C30/C6)</f>
        <v>0</v>
      </c>
      <c r="D52" s="153" t="str">
        <f t="shared" si="43"/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245</v>
      </c>
      <c r="C53" s="153" t="e">
        <f>IF(D6="","",C16/(C6-D6))</f>
        <v>#VALUE!</v>
      </c>
      <c r="D53" s="153" t="str">
        <f t="shared" ref="D53:M53" si="44">IF(E6="","",D16/(D6-E6))</f>
        <v/>
      </c>
      <c r="E53" s="153" t="str">
        <f t="shared" si="44"/>
        <v/>
      </c>
      <c r="F53" s="153" t="str">
        <f t="shared" si="44"/>
        <v/>
      </c>
      <c r="G53" s="153" t="str">
        <f t="shared" si="44"/>
        <v/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249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250</v>
      </c>
      <c r="C55" s="156" t="e">
        <f>IF(C36="","",(C36-C37)/C27)</f>
        <v>#DIV/0!</v>
      </c>
      <c r="D55" s="156" t="str">
        <f t="shared" ref="D55:M55" si="45">IF(D36="","",(D36-D37)/D27)</f>
        <v/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117</v>
      </c>
      <c r="C56" s="157" t="str">
        <f t="shared" ref="C56:M56" si="46">IF(OR(C22="",C35=""),"",IF(C35&lt;=0,"-",C22/C35))</f>
        <v>-</v>
      </c>
      <c r="D56" s="157" t="str">
        <f t="shared" si="46"/>
        <v/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119</v>
      </c>
      <c r="C57" s="153">
        <f t="shared" ref="C57:M57" si="47">IF(C22="","",IF(MAX(C17,0)&lt;=0,"-",C17/C22))</f>
        <v>4.1168354939394511</v>
      </c>
      <c r="D57" s="153">
        <f t="shared" si="47"/>
        <v>2.8873591989987477</v>
      </c>
      <c r="E57" s="153" t="str">
        <f t="shared" si="47"/>
        <v/>
      </c>
      <c r="F57" s="153" t="str">
        <f t="shared" si="47"/>
        <v/>
      </c>
      <c r="G57" s="153" t="str">
        <f t="shared" si="47"/>
        <v/>
      </c>
      <c r="H57" s="153" t="str">
        <f t="shared" si="47"/>
        <v/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19</v>
      </c>
      <c r="C58" s="158" t="e">
        <f t="shared" ref="C58:M58" si="48">IF(C28="","",C28/C31)</f>
        <v>#DIV/0!</v>
      </c>
      <c r="D58" s="158" t="str">
        <f t="shared" si="48"/>
        <v/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251</v>
      </c>
      <c r="C59" s="273" t="str">
        <f>IFERROR(IF(C13*C50*(1/C55)=C60,"","Error"),"")</f>
        <v/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252</v>
      </c>
      <c r="C60" s="274" t="e">
        <f>IF(C14="","",C14/(C36-C37))</f>
        <v>#DIV/0!</v>
      </c>
      <c r="D60" s="274" t="e">
        <f t="shared" ref="D60:M60" si="50">IF(D14="","",D14/(D36-D37))</f>
        <v>#VALUE!</v>
      </c>
      <c r="E60" s="274" t="str">
        <f t="shared" si="50"/>
        <v/>
      </c>
      <c r="F60" s="274" t="str">
        <f t="shared" si="50"/>
        <v/>
      </c>
      <c r="G60" s="274" t="str">
        <f t="shared" si="50"/>
        <v/>
      </c>
      <c r="H60" s="274" t="str">
        <f t="shared" si="50"/>
        <v/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253</v>
      </c>
      <c r="C61" s="274" t="e">
        <f>IF(C22="","",C22/(C36-C37))</f>
        <v>#DIV/0!</v>
      </c>
      <c r="D61" s="274" t="e">
        <f t="shared" ref="D61:M61" si="51">IF(D22="","",D22/(D36-D37))</f>
        <v>#VALUE!</v>
      </c>
      <c r="E61" s="274" t="str">
        <f t="shared" si="51"/>
        <v/>
      </c>
      <c r="F61" s="274" t="str">
        <f t="shared" si="51"/>
        <v/>
      </c>
      <c r="G61" s="274" t="str">
        <f t="shared" si="51"/>
        <v/>
      </c>
      <c r="H61" s="274" t="str">
        <f t="shared" si="51"/>
        <v/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0</v>
      </c>
      <c r="K3" s="24"/>
    </row>
    <row r="4" spans="1:11" ht="15" customHeight="1" x14ac:dyDescent="0.4">
      <c r="B4" s="3" t="s">
        <v>23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183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113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151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152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143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146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135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144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147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145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83">
        <f>Data!C5</f>
        <v>45291</v>
      </c>
      <c r="D72" s="283"/>
      <c r="E72" s="297" t="s">
        <v>193</v>
      </c>
      <c r="F72" s="297"/>
      <c r="H72" s="297" t="s">
        <v>192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122</v>
      </c>
      <c r="C74" s="77">
        <f>Data!C6</f>
        <v>277533</v>
      </c>
      <c r="D74" s="209"/>
      <c r="E74" s="238">
        <f>Inputs!E91</f>
        <v>277533</v>
      </c>
      <c r="F74" s="209"/>
      <c r="H74" s="238">
        <f>Inputs!F91</f>
        <v>277533</v>
      </c>
      <c r="I74" s="209"/>
      <c r="K74" s="24"/>
    </row>
    <row r="75" spans="1:11" ht="15" customHeight="1" x14ac:dyDescent="0.4">
      <c r="B75" s="104" t="s">
        <v>102</v>
      </c>
      <c r="C75" s="77">
        <f>Data!C8</f>
        <v>55101</v>
      </c>
      <c r="D75" s="159">
        <f>C75/$C$74</f>
        <v>0.19853855217217412</v>
      </c>
      <c r="E75" s="238">
        <f>Inputs!E92</f>
        <v>55101</v>
      </c>
      <c r="F75" s="160">
        <f>E75/E74</f>
        <v>0.19853855217217412</v>
      </c>
      <c r="H75" s="238">
        <f>Inputs!F92</f>
        <v>55101</v>
      </c>
      <c r="I75" s="160">
        <f>H75/$H$74</f>
        <v>0.19853855217217412</v>
      </c>
      <c r="K75" s="24"/>
    </row>
    <row r="76" spans="1:11" ht="15" customHeight="1" x14ac:dyDescent="0.4">
      <c r="B76" s="35" t="s">
        <v>92</v>
      </c>
      <c r="C76" s="161">
        <f>C74-C75</f>
        <v>222432</v>
      </c>
      <c r="D76" s="210"/>
      <c r="E76" s="162">
        <f>E74-E75</f>
        <v>222432</v>
      </c>
      <c r="F76" s="210"/>
      <c r="H76" s="162">
        <f>H74-H75</f>
        <v>222432</v>
      </c>
      <c r="I76" s="210"/>
      <c r="K76" s="24"/>
    </row>
    <row r="77" spans="1:11" ht="15" customHeight="1" x14ac:dyDescent="0.4">
      <c r="B77" s="104" t="s">
        <v>231</v>
      </c>
      <c r="C77" s="77">
        <f>Data!C10+MAX(Data!C11,0)</f>
        <v>43909</v>
      </c>
      <c r="D77" s="159">
        <f>C77/$C$74</f>
        <v>0.15821181625248168</v>
      </c>
      <c r="E77" s="238">
        <f>Inputs!E93</f>
        <v>43909</v>
      </c>
      <c r="F77" s="160">
        <f>E77/E74</f>
        <v>0.15821181625248168</v>
      </c>
      <c r="H77" s="238">
        <f>Inputs!F93</f>
        <v>43909</v>
      </c>
      <c r="I77" s="160">
        <f>H77/$H$74</f>
        <v>0.15821181625248168</v>
      </c>
      <c r="K77" s="24"/>
    </row>
    <row r="78" spans="1:11" ht="15" customHeight="1" x14ac:dyDescent="0.4">
      <c r="B78" s="73" t="s">
        <v>162</v>
      </c>
      <c r="C78" s="77">
        <f>MAX(Data!C12,0)</f>
        <v>378.66666666666669</v>
      </c>
      <c r="D78" s="159">
        <f>C78/$C$74</f>
        <v>1.3644023113167324E-3</v>
      </c>
      <c r="E78" s="180">
        <f>E74*F78</f>
        <v>378.66666666666669</v>
      </c>
      <c r="F78" s="160">
        <f>I78</f>
        <v>1.3644023113167324E-3</v>
      </c>
      <c r="H78" s="238">
        <f>Inputs!F97</f>
        <v>378.66666666666669</v>
      </c>
      <c r="I78" s="160">
        <f>H78/$H$74</f>
        <v>1.3644023113167324E-3</v>
      </c>
      <c r="K78" s="24"/>
    </row>
    <row r="79" spans="1:11" ht="15" customHeight="1" x14ac:dyDescent="0.4">
      <c r="B79" s="256" t="s">
        <v>219</v>
      </c>
      <c r="C79" s="257">
        <f>C76-C77-C78</f>
        <v>178144.33333333334</v>
      </c>
      <c r="D79" s="258">
        <f>C79/C74</f>
        <v>0.64188522926402747</v>
      </c>
      <c r="E79" s="259">
        <f>E76-E77-E78</f>
        <v>178144.33333333334</v>
      </c>
      <c r="F79" s="258">
        <f>E79/E74</f>
        <v>0.64188522926402747</v>
      </c>
      <c r="G79" s="260"/>
      <c r="H79" s="259">
        <f>H76-H77-H78</f>
        <v>178144.33333333334</v>
      </c>
      <c r="I79" s="258">
        <f>H79/H74</f>
        <v>0.64188522926402747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127</v>
      </c>
    </row>
    <row r="81" spans="1:11" ht="15" customHeight="1" x14ac:dyDescent="0.4">
      <c r="B81" s="104" t="s">
        <v>239</v>
      </c>
      <c r="C81" s="77">
        <f>MAX(Data!C17,0)</f>
        <v>143329</v>
      </c>
      <c r="D81" s="159">
        <f>C81/$C$74</f>
        <v>0.51643948647548221</v>
      </c>
      <c r="E81" s="180">
        <f>E74*F81</f>
        <v>143329</v>
      </c>
      <c r="F81" s="160">
        <f>I81</f>
        <v>0.51643948647548221</v>
      </c>
      <c r="H81" s="238">
        <f>Inputs!F94</f>
        <v>143329</v>
      </c>
      <c r="I81" s="160">
        <f>H81/$H$74</f>
        <v>0.51643948647548221</v>
      </c>
      <c r="K81" s="24"/>
    </row>
    <row r="82" spans="1:11" ht="15" customHeight="1" x14ac:dyDescent="0.4">
      <c r="B82" s="28" t="s">
        <v>230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121</v>
      </c>
      <c r="C83" s="163">
        <f>C79-C81-C82-C80</f>
        <v>34815.333333333343</v>
      </c>
      <c r="D83" s="164">
        <f>C83/$C$74</f>
        <v>0.12544574278854531</v>
      </c>
      <c r="E83" s="165">
        <f>E79-E81-E82-E80</f>
        <v>34815.333333333343</v>
      </c>
      <c r="F83" s="164">
        <f>E83/E74</f>
        <v>0.12544574278854531</v>
      </c>
      <c r="H83" s="165">
        <f>H79-H81-H82-H80</f>
        <v>34815.333333333343</v>
      </c>
      <c r="I83" s="164">
        <f>H83/$H$74</f>
        <v>0.12544574278854531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157</v>
      </c>
      <c r="C85" s="257">
        <f>C83*(1-I84)</f>
        <v>26111.500000000007</v>
      </c>
      <c r="D85" s="258">
        <f>C85/$C$74</f>
        <v>9.408430709140897E-2</v>
      </c>
      <c r="E85" s="264">
        <f>E83*(1-F84)</f>
        <v>26111.500000000007</v>
      </c>
      <c r="F85" s="258">
        <f>E85/E74</f>
        <v>9.408430709140897E-2</v>
      </c>
      <c r="G85" s="260"/>
      <c r="H85" s="264">
        <f>H83*(1-I84)</f>
        <v>26111.500000000007</v>
      </c>
      <c r="I85" s="258">
        <f>H85/$H$74</f>
        <v>9.408430709140897E-2</v>
      </c>
      <c r="K85" s="24"/>
    </row>
    <row r="86" spans="1:11" ht="15" customHeight="1" x14ac:dyDescent="0.4">
      <c r="B86" s="87" t="s">
        <v>153</v>
      </c>
      <c r="C86" s="167">
        <f>C85*Data!C4/Common_Shares</f>
        <v>0.44192699452091866</v>
      </c>
      <c r="D86" s="209"/>
      <c r="E86" s="168">
        <f>E85*Data!C4/Common_Shares</f>
        <v>0.44192699452091866</v>
      </c>
      <c r="F86" s="209"/>
      <c r="H86" s="168">
        <f>H85*Data!C4/Common_Shares</f>
        <v>0.44192699452091866</v>
      </c>
      <c r="I86" s="209"/>
      <c r="K86" s="24"/>
    </row>
    <row r="87" spans="1:11" ht="15" customHeight="1" x14ac:dyDescent="0.4">
      <c r="B87" s="87" t="s">
        <v>195</v>
      </c>
      <c r="C87" s="261">
        <f>C86*Exchange_Rate/Dashboard!G3</f>
        <v>0.16814609187418997</v>
      </c>
      <c r="D87" s="209"/>
      <c r="E87" s="262">
        <f>E86*Exchange_Rate/Dashboard!G3</f>
        <v>0.16814609187418997</v>
      </c>
      <c r="F87" s="209"/>
      <c r="H87" s="262">
        <f>H86*Exchange_Rate/Dashboard!G3</f>
        <v>0.16814609187418997</v>
      </c>
      <c r="I87" s="209"/>
      <c r="K87" s="24"/>
    </row>
    <row r="88" spans="1:11" ht="15" customHeight="1" x14ac:dyDescent="0.4">
      <c r="B88" s="86" t="s">
        <v>194</v>
      </c>
      <c r="C88" s="169">
        <f>Inputs!C44</f>
        <v>0.27699999999999997</v>
      </c>
      <c r="D88" s="166">
        <f>C88/C86</f>
        <v>0.6268003616757748</v>
      </c>
      <c r="E88" s="170">
        <f>Inputs!E98</f>
        <v>0.21</v>
      </c>
      <c r="F88" s="166">
        <f>E88/E86</f>
        <v>0.47519160993470294</v>
      </c>
      <c r="H88" s="170">
        <f>Inputs!F98</f>
        <v>0.21</v>
      </c>
      <c r="I88" s="166">
        <f>H88/H86</f>
        <v>0.47519160993470294</v>
      </c>
      <c r="K88" s="24"/>
    </row>
    <row r="89" spans="1:11" ht="15" customHeight="1" x14ac:dyDescent="0.4">
      <c r="B89" s="87" t="s">
        <v>208</v>
      </c>
      <c r="C89" s="261">
        <f>C88*Exchange_Rate/Dashboard!G3</f>
        <v>0.10539403120111034</v>
      </c>
      <c r="D89" s="209"/>
      <c r="E89" s="261">
        <f>E88*Exchange_Rate/Dashboard!G3</f>
        <v>7.9901612101924799E-2</v>
      </c>
      <c r="F89" s="209"/>
      <c r="H89" s="261">
        <f>H88*Exchange_Rate/Dashboard!G3</f>
        <v>7.9901612101924799E-2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148</v>
      </c>
      <c r="C92" s="198" t="str">
        <f>Inputs!C15</f>
        <v>CN</v>
      </c>
      <c r="D92" s="10" t="s">
        <v>149</v>
      </c>
      <c r="E92" s="297" t="s">
        <v>193</v>
      </c>
      <c r="F92" s="297"/>
      <c r="G92" s="87"/>
      <c r="H92" s="297" t="s">
        <v>192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196</v>
      </c>
      <c r="F93" s="144">
        <f>FV(E87,D93,0,-(E86/(C93-D94)))*Exchange_Rate</f>
        <v>15.512900850996882</v>
      </c>
      <c r="H93" s="87" t="s">
        <v>196</v>
      </c>
      <c r="I93" s="144">
        <f>FV(H87,D93,0,-(H86/(C93-D94)))*Exchange_Rate</f>
        <v>15.512900850996882</v>
      </c>
      <c r="K93" s="24"/>
    </row>
    <row r="94" spans="1:11" ht="15" customHeight="1" x14ac:dyDescent="0.4">
      <c r="B94" s="1" t="s">
        <v>198</v>
      </c>
      <c r="C94" s="182">
        <f>Dashboard!G20</f>
        <v>0.15</v>
      </c>
      <c r="D94" s="270">
        <f>Inputs!D87</f>
        <v>0.02</v>
      </c>
      <c r="E94" s="87" t="s">
        <v>197</v>
      </c>
      <c r="F94" s="144">
        <f>FV(E89,D93,0,-(E88/(C93-D94)))*Exchange_Rate</f>
        <v>4.9773356257031267</v>
      </c>
      <c r="H94" s="87" t="s">
        <v>197</v>
      </c>
      <c r="I94" s="144">
        <f>FV(H89,D93,0,-(H88/(C93-D94)))*Exchange_Rate</f>
        <v>4.9773356257031267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200</v>
      </c>
      <c r="E96" s="183" t="str">
        <f>E72</f>
        <v>Pessimistic Case</v>
      </c>
      <c r="F96" s="227" t="s">
        <v>224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126</v>
      </c>
      <c r="C97" s="91">
        <f>H97*Common_Shares/Data!C4</f>
        <v>455706.37628768111</v>
      </c>
      <c r="D97" s="213"/>
      <c r="E97" s="123">
        <f>PV(C94,D93,0,-F93)</f>
        <v>7.7126534001046929</v>
      </c>
      <c r="F97" s="213"/>
      <c r="H97" s="123">
        <f>PV(C94,D93,0,-I93)</f>
        <v>7.7126534001046929</v>
      </c>
      <c r="I97" s="123">
        <f>PV(C93,D93,0,-I93)</f>
        <v>10.257560082362605</v>
      </c>
      <c r="K97" s="24"/>
    </row>
    <row r="98" spans="2:11" ht="15" customHeight="1" x14ac:dyDescent="0.4">
      <c r="B98" s="28" t="s">
        <v>140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455706.37628768111</v>
      </c>
      <c r="D100" s="109">
        <f>MIN(F100*(1-C94),E100)</f>
        <v>6.5557553900889891</v>
      </c>
      <c r="E100" s="109">
        <f>MAX(E97+H98+E99,0)</f>
        <v>7.7126534001046929</v>
      </c>
      <c r="F100" s="109">
        <f>(E100+H100)/2</f>
        <v>7.7126534001046929</v>
      </c>
      <c r="H100" s="109">
        <f>MAX(C100*Data!$C$4/Common_Shares,0)</f>
        <v>7.7126534001046929</v>
      </c>
      <c r="I100" s="109">
        <f>MAX(I97+H98+H99,0)</f>
        <v>10.257560082362605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155</v>
      </c>
      <c r="C102" s="127" t="str">
        <f>C96</f>
        <v>HKD</v>
      </c>
      <c r="D102" s="124" t="s">
        <v>200</v>
      </c>
      <c r="E102" s="183" t="str">
        <f>E96</f>
        <v>Pessimistic Case</v>
      </c>
      <c r="F102" s="227" t="s">
        <v>224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154</v>
      </c>
      <c r="C103" s="91">
        <f>H103*Common_Shares/Data!C4</f>
        <v>146214.01911499948</v>
      </c>
      <c r="D103" s="109">
        <f>MIN(F103*(1-C94),E103)</f>
        <v>2.1034231553403089</v>
      </c>
      <c r="E103" s="123">
        <f>PV(C94,D93,0,-F94)</f>
        <v>2.4746154768709516</v>
      </c>
      <c r="F103" s="109">
        <f>(E103+H103)/2</f>
        <v>2.4746154768709516</v>
      </c>
      <c r="H103" s="123">
        <f>PV(C94,D93,0,-I94)</f>
        <v>2.4746154768709516</v>
      </c>
      <c r="I103" s="109">
        <f>PV(C93,D93,0,-I94)</f>
        <v>3.291152294540244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184</v>
      </c>
      <c r="C105" s="127" t="str">
        <f>C102</f>
        <v>HKD</v>
      </c>
      <c r="D105" s="124" t="s">
        <v>200</v>
      </c>
      <c r="E105" s="184" t="str">
        <f>E96</f>
        <v>Pessimistic Case</v>
      </c>
      <c r="F105" s="227" t="s">
        <v>224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185</v>
      </c>
      <c r="C106" s="91">
        <f>E106*Common_Shares/Data!C4</f>
        <v>300960.19770134025</v>
      </c>
      <c r="D106" s="109">
        <f>(D100+D103)/2</f>
        <v>4.3295892727146494</v>
      </c>
      <c r="E106" s="123">
        <f>(E100+E103)/2</f>
        <v>5.0936344384878218</v>
      </c>
      <c r="F106" s="109">
        <f>(F100+F103)/2</f>
        <v>5.0936344384878218</v>
      </c>
      <c r="H106" s="123">
        <f>(H100+H103)/2</f>
        <v>5.0936344384878218</v>
      </c>
      <c r="I106" s="123">
        <f>(I100+I103)/2</f>
        <v>6.7743561884514243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158</v>
      </c>
      <c r="C108" s="128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2024-12-16T06:47:44Z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