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8A370D8-C73B-4114-BDBD-EEC88451951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5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M52" i="2"/>
  <c r="F96" i="4" l="1"/>
  <c r="E92" i="4"/>
  <c r="F97" i="4"/>
  <c r="F93" i="4"/>
  <c r="E95" i="4"/>
  <c r="F92" i="4"/>
  <c r="F94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<sst xmlns="http://schemas.openxmlformats.org/spreadsheetml/2006/main" count="391" uniqueCount="272">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</sst>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677426000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25013339</v>
      </c>
      <c r="D25" s="149">
        <v>19751940</v>
      </c>
      <c r="E25" s="149">
        <v>21987559</v>
      </c>
      <c r="F25" s="149">
        <v>14997541</v>
      </c>
      <c r="G25" s="149">
        <v>17736226</v>
      </c>
      <c r="H25" s="149">
        <v>18806342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18409837</v>
      </c>
      <c r="D26" s="150">
        <v>15140010</v>
      </c>
      <c r="E26" s="150">
        <v>16431474</v>
      </c>
      <c r="F26" s="150">
        <v>10877614</v>
      </c>
      <c r="G26" s="150">
        <v>12958750</v>
      </c>
      <c r="H26" s="150">
        <v>14175208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5225366</v>
      </c>
      <c r="D27" s="150">
        <v>4709830</v>
      </c>
      <c r="E27" s="150">
        <v>4571128</v>
      </c>
      <c r="F27" s="150">
        <v>3136777</v>
      </c>
      <c r="G27" s="150">
        <v>3470831</v>
      </c>
      <c r="H27" s="150">
        <v>3388718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129899</v>
      </c>
      <c r="D29" s="150">
        <v>81860</v>
      </c>
      <c r="E29" s="150">
        <v>60486</v>
      </c>
      <c r="F29" s="150">
        <v>76137</v>
      </c>
      <c r="G29" s="150">
        <v>89162</v>
      </c>
      <c r="H29" s="150">
        <v>36991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-13497</v>
      </c>
      <c r="D30" s="150">
        <v>-10604</v>
      </c>
      <c r="E30" s="150">
        <v>-3488</v>
      </c>
      <c r="F30" s="150">
        <v>0</v>
      </c>
      <c r="G30" s="150">
        <v>0</v>
      </c>
      <c r="H30" s="150">
        <v>0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0.15+0.4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8.1967213114754106E-2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25013339</v>
      </c>
      <c r="D91" s="209"/>
      <c r="E91" s="251">
        <f>C91*0.7</f>
        <v>17509337.300000001</v>
      </c>
      <c r="F91" s="251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59">
        <f>C92/C91</f>
        <v>0.73600077942413045</v>
      </c>
      <c r="E92" s="252">
        <f>E91*D92</f>
        <v>12886885.9</v>
      </c>
      <c r="F92" s="252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59">
        <f>C93/C91</f>
        <v>0.20890317762054877</v>
      </c>
      <c r="E93" s="252">
        <f>E91*D93</f>
        <v>3657756.2</v>
      </c>
      <c r="F93" s="252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59">
        <f>C94/C91</f>
        <v>5.1931891220120593E-3</v>
      </c>
      <c r="E94" s="253"/>
      <c r="F94" s="252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0116.HK</v>
      </c>
      <c r="D3" s="278"/>
      <c r="E3" s="87"/>
      <c r="F3" s="3" t="s">
        <v>1</v>
      </c>
      <c r="G3" s="132">
        <v>6.71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周生生</v>
      </c>
      <c r="D4" s="280"/>
      <c r="E4" s="87"/>
      <c r="F4" s="3" t="s">
        <v>3</v>
      </c>
      <c r="G4" s="283">
        <f>Inputs!C10</f>
        <v>677426000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4545.5284600000005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0.73600077942413045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5.1931891220120593E-3</v>
      </c>
      <c r="F24" s="140" t="s">
        <v>260</v>
      </c>
      <c r="G24" s="268">
        <f>G3/(Fin_Analysis!H86*G7)</f>
        <v>6.0692647042722392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0.49748071346493766</v>
      </c>
    </row>
    <row r="26" spans="1:8" ht="15.75" customHeight="1" x14ac:dyDescent="0.4">
      <c r="B26" s="138" t="s">
        <v>174</v>
      </c>
      <c r="C26" s="171">
        <f>Fin_Analysis!I83</f>
        <v>4.9902853833308697E-2</v>
      </c>
      <c r="F26" s="141" t="s">
        <v>194</v>
      </c>
      <c r="G26" s="178">
        <f>Fin_Analysis!H88*Exchange_Rate/G3</f>
        <v>8.1967213114754106E-2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5.4306274750083352</v>
      </c>
      <c r="D29" s="129">
        <f>G29*(1+G20)</f>
        <v>11.81004341188684</v>
      </c>
      <c r="E29" s="87"/>
      <c r="F29" s="131">
        <f>IF(Fin_Analysis!C108="Profit",Fin_Analysis!F100,IF(Fin_Analysis!C108="Dividend",Fin_Analysis!F103,Fin_Analysis!F106))</f>
        <v>6.388973500009806</v>
      </c>
      <c r="G29" s="274">
        <f>IF(Fin_Analysis!C108="Profit",Fin_Analysis!I100,IF(Fin_Analysis!C108="Dividend",Fin_Analysis!I103,Fin_Analysis!I106))</f>
        <v>10.269602966858121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25013339</v>
      </c>
      <c r="D6" s="200">
        <f>IF(Inputs!D25="","",Inputs!D25)</f>
        <v>19751940</v>
      </c>
      <c r="E6" s="200">
        <f>IF(Inputs!E25="","",Inputs!E25)</f>
        <v>21987559</v>
      </c>
      <c r="F6" s="200">
        <f>IF(Inputs!F25="","",Inputs!F25)</f>
        <v>14997541</v>
      </c>
      <c r="G6" s="200">
        <f>IF(Inputs!G25="","",Inputs!G25)</f>
        <v>17736226</v>
      </c>
      <c r="H6" s="200">
        <f>IF(Inputs!H25="","",Inputs!H25)</f>
        <v>18806342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18409837</v>
      </c>
      <c r="D8" s="199">
        <f>IF(Inputs!D26="","",Inputs!D26)</f>
        <v>15140010</v>
      </c>
      <c r="E8" s="199">
        <f>IF(Inputs!E26="","",Inputs!E26)</f>
        <v>16431474</v>
      </c>
      <c r="F8" s="199">
        <f>IF(Inputs!F26="","",Inputs!F26)</f>
        <v>10877614</v>
      </c>
      <c r="G8" s="199">
        <f>IF(Inputs!G26="","",Inputs!G26)</f>
        <v>12958750</v>
      </c>
      <c r="H8" s="199">
        <f>IF(Inputs!H26="","",Inputs!H26)</f>
        <v>14175208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6603502</v>
      </c>
      <c r="D9" s="151">
        <f t="shared" si="2"/>
        <v>4611930</v>
      </c>
      <c r="E9" s="151">
        <f t="shared" si="2"/>
        <v>5556085</v>
      </c>
      <c r="F9" s="151">
        <f t="shared" si="2"/>
        <v>4119927</v>
      </c>
      <c r="G9" s="151">
        <f t="shared" si="2"/>
        <v>4777476</v>
      </c>
      <c r="H9" s="151">
        <f t="shared" si="2"/>
        <v>4631134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5225366</v>
      </c>
      <c r="D10" s="199">
        <f>IF(Inputs!D27="","",Inputs!D27)</f>
        <v>4709830</v>
      </c>
      <c r="E10" s="199">
        <f>IF(Inputs!E27="","",Inputs!E27)</f>
        <v>4571128</v>
      </c>
      <c r="F10" s="199">
        <f>IF(Inputs!F27="","",Inputs!F27)</f>
        <v>3136777</v>
      </c>
      <c r="G10" s="199">
        <f>IF(Inputs!G27="","",Inputs!G27)</f>
        <v>3470831</v>
      </c>
      <c r="H10" s="199">
        <f>IF(Inputs!H27="","",Inputs!H27)</f>
        <v>3388718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5.5096042955320758E-2</v>
      </c>
      <c r="D13" s="229">
        <f t="shared" si="3"/>
        <v>-4.9564751614271816E-3</v>
      </c>
      <c r="E13" s="229">
        <f t="shared" si="3"/>
        <v>4.4796104924607595E-2</v>
      </c>
      <c r="F13" s="229">
        <f t="shared" si="3"/>
        <v>6.5554079832153819E-2</v>
      </c>
      <c r="G13" s="229">
        <f t="shared" si="3"/>
        <v>7.3670971490778253E-2</v>
      </c>
      <c r="H13" s="229">
        <f t="shared" si="3"/>
        <v>6.6063671499752577E-2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1378136</v>
      </c>
      <c r="D14" s="230">
        <f t="shared" ref="D14:M14" si="4">IF(D6="","",D9-D10-MAX(D11,0)-MAX(D12,0))</f>
        <v>-97900</v>
      </c>
      <c r="E14" s="230">
        <f t="shared" si="4"/>
        <v>984957</v>
      </c>
      <c r="F14" s="230">
        <f t="shared" si="4"/>
        <v>983150</v>
      </c>
      <c r="G14" s="230">
        <f t="shared" si="4"/>
        <v>1306645</v>
      </c>
      <c r="H14" s="230">
        <f t="shared" si="4"/>
        <v>1242416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>
        <f t="shared" si="5"/>
        <v>1.8379697909779789E-3</v>
      </c>
      <c r="F15" s="232">
        <f t="shared" si="5"/>
        <v>-0.24757680930933804</v>
      </c>
      <c r="G15" s="232">
        <f t="shared" si="5"/>
        <v>5.1696855159624473E-2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129899</v>
      </c>
      <c r="D17" s="199">
        <f>IF(Inputs!D29="","",Inputs!D29)</f>
        <v>81860</v>
      </c>
      <c r="E17" s="199">
        <f>IF(Inputs!E29="","",Inputs!E29)</f>
        <v>60486</v>
      </c>
      <c r="F17" s="199">
        <f>IF(Inputs!F29="","",Inputs!F29)</f>
        <v>76137</v>
      </c>
      <c r="G17" s="199">
        <f>IF(Inputs!G29="","",Inputs!G29)</f>
        <v>89162</v>
      </c>
      <c r="H17" s="199">
        <f>IF(Inputs!H29="","",Inputs!H29)</f>
        <v>36991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1248237</v>
      </c>
      <c r="D22" s="161">
        <f t="shared" ref="D22:M22" si="8">IF(D6="","",D14-MAX(D16,0)-MAX(D17,0)-ABS(MAX(D21,0)-MAX(D19,0)))</f>
        <v>-179760</v>
      </c>
      <c r="E22" s="161">
        <f t="shared" si="8"/>
        <v>924471</v>
      </c>
      <c r="F22" s="161">
        <f t="shared" si="8"/>
        <v>907013</v>
      </c>
      <c r="G22" s="161">
        <f t="shared" si="8"/>
        <v>1217483</v>
      </c>
      <c r="H22" s="161">
        <f t="shared" si="8"/>
        <v>1205425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3.7427140374981523E-2</v>
      </c>
      <c r="D23" s="153">
        <f t="shared" si="9"/>
        <v>-6.8256586441635602E-3</v>
      </c>
      <c r="E23" s="153">
        <f t="shared" si="9"/>
        <v>3.1533889232542821E-2</v>
      </c>
      <c r="F23" s="153">
        <f t="shared" si="9"/>
        <v>4.5358085702182777E-2</v>
      </c>
      <c r="G23" s="153">
        <f t="shared" si="9"/>
        <v>5.1482894388016932E-2</v>
      </c>
      <c r="H23" s="153">
        <f t="shared" si="9"/>
        <v>4.8072546484584824E-2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1.9247794684309927E-2</v>
      </c>
      <c r="F25" s="233">
        <f t="shared" si="10"/>
        <v>-0.25500972087495266</v>
      </c>
      <c r="G25" s="233">
        <f t="shared" si="10"/>
        <v>1.0003110935976937E-2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0.73600077942413045</v>
      </c>
      <c r="D42" s="156">
        <f t="shared" si="34"/>
        <v>0.76650749242859184</v>
      </c>
      <c r="E42" s="156">
        <f t="shared" si="34"/>
        <v>0.74730778437024314</v>
      </c>
      <c r="F42" s="156">
        <f t="shared" si="34"/>
        <v>0.72529316639307739</v>
      </c>
      <c r="G42" s="156">
        <f t="shared" si="34"/>
        <v>0.73063739715540388</v>
      </c>
      <c r="H42" s="156">
        <f t="shared" si="34"/>
        <v>0.75374615648274401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0.20890317762054877</v>
      </c>
      <c r="D43" s="153">
        <f t="shared" si="35"/>
        <v>0.23844898273283535</v>
      </c>
      <c r="E43" s="153">
        <f t="shared" si="35"/>
        <v>0.20789611070514921</v>
      </c>
      <c r="F43" s="153">
        <f t="shared" si="35"/>
        <v>0.2091527537747688</v>
      </c>
      <c r="G43" s="153">
        <f t="shared" si="35"/>
        <v>0.1956916313538179</v>
      </c>
      <c r="H43" s="153">
        <f t="shared" si="35"/>
        <v>0.18019017201750345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5.1931891220120593E-3</v>
      </c>
      <c r="D45" s="153">
        <f t="shared" si="37"/>
        <v>4.1444030307908998E-3</v>
      </c>
      <c r="E45" s="153">
        <f t="shared" si="37"/>
        <v>2.7509192812171647E-3</v>
      </c>
      <c r="F45" s="153">
        <f t="shared" si="37"/>
        <v>5.0766322292434473E-3</v>
      </c>
      <c r="G45" s="153">
        <f t="shared" si="37"/>
        <v>5.0271123067556758E-3</v>
      </c>
      <c r="H45" s="153">
        <f t="shared" si="37"/>
        <v>1.9669428536394796E-3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4.9902853833308697E-2</v>
      </c>
      <c r="D48" s="153">
        <f t="shared" si="40"/>
        <v>-9.1008781922180815E-3</v>
      </c>
      <c r="E48" s="153">
        <f t="shared" si="40"/>
        <v>4.204518564339043E-2</v>
      </c>
      <c r="F48" s="153">
        <f t="shared" si="40"/>
        <v>6.0477447602910371E-2</v>
      </c>
      <c r="G48" s="153">
        <f t="shared" si="40"/>
        <v>6.8643859184022576E-2</v>
      </c>
      <c r="H48" s="153">
        <f t="shared" si="40"/>
        <v>6.4096728646113099E-2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0.10406597465064728</v>
      </c>
      <c r="D56" s="153">
        <f t="shared" si="46"/>
        <v>-0.4553849577214063</v>
      </c>
      <c r="E56" s="153">
        <f t="shared" si="46"/>
        <v>6.5427687834448023E-2</v>
      </c>
      <c r="F56" s="153">
        <f t="shared" si="46"/>
        <v>8.3942567526595541E-2</v>
      </c>
      <c r="G56" s="153">
        <f t="shared" si="46"/>
        <v>7.3234698143629109E-2</v>
      </c>
      <c r="H56" s="153">
        <f t="shared" si="46"/>
        <v>3.0687102059439617E-2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09"/>
      <c r="E74" s="238">
        <f>Inputs!E91</f>
        <v>17509337.300000001</v>
      </c>
      <c r="F74" s="209"/>
      <c r="H74" s="238">
        <f>Inputs!F91</f>
        <v>20010671.199999999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59">
        <f>C75/$C$74</f>
        <v>0.73600077942413045</v>
      </c>
      <c r="E75" s="238">
        <f>Inputs!E92</f>
        <v>12886885.9</v>
      </c>
      <c r="F75" s="160">
        <f>E75/E74</f>
        <v>0.73600077942413045</v>
      </c>
      <c r="H75" s="238">
        <f>Inputs!F92</f>
        <v>14727869.6</v>
      </c>
      <c r="I75" s="160">
        <f>H75/$H$74</f>
        <v>0.73600077942413045</v>
      </c>
      <c r="K75" s="24"/>
    </row>
    <row r="76" spans="1:11" ht="15" customHeight="1" x14ac:dyDescent="0.4">
      <c r="B76" s="35" t="s">
        <v>96</v>
      </c>
      <c r="C76" s="161">
        <f>C74-C75</f>
        <v>6603502</v>
      </c>
      <c r="D76" s="210"/>
      <c r="E76" s="162">
        <f>E74-E75</f>
        <v>4622451.4000000004</v>
      </c>
      <c r="F76" s="210"/>
      <c r="H76" s="162">
        <f>H74-H75</f>
        <v>5282801.5999999996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59">
        <f>C77/$C$74</f>
        <v>0.20890317762054877</v>
      </c>
      <c r="E77" s="238">
        <f>Inputs!E93</f>
        <v>3657756.2</v>
      </c>
      <c r="F77" s="160">
        <f>E77/E74</f>
        <v>0.20890317762054877</v>
      </c>
      <c r="H77" s="238">
        <f>Inputs!F93</f>
        <v>4180292.8</v>
      </c>
      <c r="I77" s="160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1378136</v>
      </c>
      <c r="D79" s="258">
        <f>C79/C74</f>
        <v>5.5096042955320758E-2</v>
      </c>
      <c r="E79" s="259">
        <f>E76-E77-E78</f>
        <v>964695.20000000019</v>
      </c>
      <c r="F79" s="258">
        <f>E79/E74</f>
        <v>5.5096042955320765E-2</v>
      </c>
      <c r="G79" s="260"/>
      <c r="H79" s="259">
        <f>H76-H77-H78</f>
        <v>1102508.7999999998</v>
      </c>
      <c r="I79" s="258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59">
        <f>C81/$C$74</f>
        <v>5.1931891220120593E-3</v>
      </c>
      <c r="E81" s="180">
        <f>E74*F81</f>
        <v>90929.3</v>
      </c>
      <c r="F81" s="160">
        <f>I81</f>
        <v>5.1931891220120593E-3</v>
      </c>
      <c r="H81" s="238">
        <f>Inputs!F94</f>
        <v>103919.2</v>
      </c>
      <c r="I81" s="160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1248237</v>
      </c>
      <c r="D83" s="164">
        <f>C83/$C$74</f>
        <v>4.9902853833308697E-2</v>
      </c>
      <c r="E83" s="165">
        <f>E79-E81-E82-E80</f>
        <v>873765.90000000014</v>
      </c>
      <c r="F83" s="164">
        <f>E83/E74</f>
        <v>4.9902853833308704E-2</v>
      </c>
      <c r="H83" s="165">
        <f>H79-H81-H82-H80</f>
        <v>998589.59999999986</v>
      </c>
      <c r="I83" s="164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936177.75</v>
      </c>
      <c r="D85" s="258">
        <f>C85/$C$74</f>
        <v>3.7427140374981523E-2</v>
      </c>
      <c r="E85" s="264">
        <f>E83*(1-F84)</f>
        <v>655324.42500000005</v>
      </c>
      <c r="F85" s="258">
        <f>E85/E74</f>
        <v>3.7427140374981523E-2</v>
      </c>
      <c r="G85" s="260"/>
      <c r="H85" s="264">
        <f>H83*(1-I84)</f>
        <v>748942.2</v>
      </c>
      <c r="I85" s="258">
        <f>H85/$H$74</f>
        <v>3.7427140374981523E-2</v>
      </c>
      <c r="K85" s="24"/>
    </row>
    <row r="86" spans="1:11" ht="15" customHeight="1" x14ac:dyDescent="0.4">
      <c r="B86" s="87" t="s">
        <v>161</v>
      </c>
      <c r="C86" s="167">
        <f>C85*Data!C4/Common_Shares</f>
        <v>1.3819631221712778</v>
      </c>
      <c r="D86" s="209"/>
      <c r="E86" s="168">
        <f>E85*Data!C4/Common_Shares</f>
        <v>0.9673741855198944</v>
      </c>
      <c r="F86" s="209"/>
      <c r="H86" s="168">
        <f>H85*Data!C4/Common_Shares</f>
        <v>1.1055704977370222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0.20595575591226198</v>
      </c>
      <c r="D87" s="209"/>
      <c r="E87" s="262">
        <f>E86*Exchange_Rate/Dashboard!G3</f>
        <v>0.14416902913858337</v>
      </c>
      <c r="F87" s="209"/>
      <c r="H87" s="262">
        <f>H86*Exchange_Rate/Dashboard!G3</f>
        <v>0.16476460472980958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0.3979845707719501</v>
      </c>
      <c r="E88" s="170">
        <f>Inputs!E98</f>
        <v>0.44000000000000006</v>
      </c>
      <c r="F88" s="166">
        <f>E88/E86</f>
        <v>0.45483950945365731</v>
      </c>
      <c r="H88" s="170">
        <f>Inputs!F98</f>
        <v>0.55000000000000004</v>
      </c>
      <c r="I88" s="166">
        <f>H88/H86</f>
        <v>0.49748071346493766</v>
      </c>
      <c r="K88" s="24"/>
    </row>
    <row r="89" spans="1:11" ht="15" customHeight="1" x14ac:dyDescent="0.4">
      <c r="B89" s="87" t="s">
        <v>222</v>
      </c>
      <c r="C89" s="261">
        <f>C88*Exchange_Rate/Dashboard!G3</f>
        <v>8.1967213114754106E-2</v>
      </c>
      <c r="D89" s="209"/>
      <c r="E89" s="261">
        <f>E88*Exchange_Rate/Dashboard!G3</f>
        <v>6.5573770491803282E-2</v>
      </c>
      <c r="F89" s="209"/>
      <c r="H89" s="261">
        <f>H88*Exchange_Rate/Dashboard!G3</f>
        <v>8.1967213114754106E-2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34.333110497539373</v>
      </c>
      <c r="H93" s="87" t="s">
        <v>210</v>
      </c>
      <c r="I93" s="144">
        <f>FV(H87,D93,0,-(H86/(C93-D94)))*Exchange_Rate</f>
        <v>42.89878400869776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10.940520954770044</v>
      </c>
      <c r="H94" s="87" t="s">
        <v>211</v>
      </c>
      <c r="I94" s="144">
        <f>FV(H89,D93,0,-(H88/(C93-D94)))*Exchange_Rate</f>
        <v>14.760494585213458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14448329.633582845</v>
      </c>
      <c r="D97" s="213"/>
      <c r="E97" s="123">
        <f>PV(C94,D93,0,-F93)</f>
        <v>17.069623789802069</v>
      </c>
      <c r="F97" s="213"/>
      <c r="H97" s="123">
        <f>PV(C94,D93,0,-I93)</f>
        <v>21.328277381710837</v>
      </c>
      <c r="I97" s="123">
        <f>PV(C93,D93,0,-I93)</f>
        <v>29.846796595261733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14448329.633582845</v>
      </c>
      <c r="D100" s="109">
        <f>MIN(F100*(1-C94),E100)</f>
        <v>16.319107997892985</v>
      </c>
      <c r="E100" s="109">
        <f>MAX(E97-H98+E99,0)</f>
        <v>17.069623789802069</v>
      </c>
      <c r="F100" s="109">
        <f>(E100+H100)/2</f>
        <v>19.198950585756453</v>
      </c>
      <c r="H100" s="109">
        <f>MAX(C100*Data!$C$4/Common_Shares,0)</f>
        <v>21.328277381710837</v>
      </c>
      <c r="I100" s="109">
        <f>MAX(I97-H98+H99,0)</f>
        <v>29.846796595261733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4971341.1755130216</v>
      </c>
      <c r="D103" s="109">
        <f>MIN(F103*(1-C94),E103)</f>
        <v>5.4306274750083352</v>
      </c>
      <c r="E103" s="123">
        <f>PV(C94,D93,0,-F94)</f>
        <v>5.4393724907550993</v>
      </c>
      <c r="F103" s="109">
        <f>(E103+H103)/2</f>
        <v>6.388973500009806</v>
      </c>
      <c r="H103" s="123">
        <f>PV(C94,D93,0,-I94)</f>
        <v>7.3385745092645127</v>
      </c>
      <c r="I103" s="109">
        <f>PV(C93,D93,0,-I94)</f>
        <v>10.269602966858121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7624089.6571763614</v>
      </c>
      <c r="D106" s="109">
        <f>(D100+D103)/2</f>
        <v>10.874867736450661</v>
      </c>
      <c r="E106" s="123">
        <f>(E100+E103)/2</f>
        <v>11.254498140278585</v>
      </c>
      <c r="F106" s="109">
        <f>(F100+F103)/2</f>
        <v>12.79396204288313</v>
      </c>
      <c r="H106" s="123">
        <f>(H100+H103)/2</f>
        <v>14.333425945487676</v>
      </c>
      <c r="I106" s="123">
        <f>(I100+I103)/2</f>
        <v>20.058199781059926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