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CF71E92-2534-47D0-85A4-C451A2DD053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M52" i="2"/>
  <c r="F95" i="4" l="1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<sst xmlns="http://schemas.openxmlformats.org/spreadsheetml/2006/main" count="391" uniqueCount="272">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</sst>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0.77696054205677556</c:v>
                </c:pt>
                <c:pt idx="1">
                  <c:v>0.14204607870614464</c:v>
                </c:pt>
                <c:pt idx="2">
                  <c:v>1.0871617989521474E-3</c:v>
                </c:pt>
                <c:pt idx="3">
                  <c:v>0</c:v>
                </c:pt>
                <c:pt idx="4">
                  <c:v>8.274315042185636E-3</c:v>
                </c:pt>
                <c:pt idx="5">
                  <c:v>1.8876764354796127E-2</c:v>
                </c:pt>
                <c:pt idx="6">
                  <c:v>5.275513804114592E-2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934412034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45016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45565</v>
      </c>
    </row>
    <row r="15" spans="1:5" ht="13.9" x14ac:dyDescent="0.4">
      <c r="B15" s="218" t="s">
        <v>255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45016</v>
      </c>
      <c r="D24" s="49">
        <f>EOMONTH(EDATE(C24,-12),0)</f>
        <v>44651</v>
      </c>
      <c r="E24" s="49">
        <f t="shared" ref="E24:M24" si="0">EOMONTH(EDATE(D24,-12),0)</f>
        <v>44286</v>
      </c>
      <c r="F24" s="49">
        <f t="shared" si="0"/>
        <v>43921</v>
      </c>
      <c r="G24" s="49">
        <f t="shared" si="0"/>
        <v>43555</v>
      </c>
      <c r="H24" s="49">
        <f t="shared" si="0"/>
        <v>43190</v>
      </c>
      <c r="I24" s="49">
        <f t="shared" si="0"/>
        <v>42825</v>
      </c>
      <c r="J24" s="49">
        <f t="shared" si="0"/>
        <v>42460</v>
      </c>
      <c r="K24" s="49">
        <f t="shared" si="0"/>
        <v>42094</v>
      </c>
      <c r="L24" s="49">
        <f t="shared" si="0"/>
        <v>41729</v>
      </c>
      <c r="M24" s="49">
        <f t="shared" si="0"/>
        <v>41364</v>
      </c>
    </row>
    <row r="25" spans="2:13" ht="13.9" x14ac:dyDescent="0.4">
      <c r="B25" s="94" t="s">
        <v>11</v>
      </c>
      <c r="C25" s="149">
        <v>3814213</v>
      </c>
      <c r="D25" s="149">
        <v>3646119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2963493</v>
      </c>
      <c r="D26" s="150">
        <v>2930208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541794</v>
      </c>
      <c r="D27" s="150">
        <v>556427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31560</v>
      </c>
      <c r="D29" s="150">
        <v>21677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3110</v>
      </c>
      <c r="D30" s="150">
        <v>3460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-70259</v>
      </c>
      <c r="D31" s="150">
        <v>-27525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274900</v>
      </c>
      <c r="D32" s="150">
        <v>274200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184900</v>
      </c>
      <c r="D33" s="150">
        <v>226600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0.0564+0.0218</f>
        <v>7.8199999999999992E-2</v>
      </c>
      <c r="D44" s="250">
        <f>0.0436+0.0218</f>
        <v>6.54E-2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5.7479808641516646E-2</v>
      </c>
      <c r="D45" s="152">
        <f>IF(D44="","",D44*Exchange_Rate/Dashboard!$G$3)</f>
        <v>4.8071348915027991E-2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45016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3814213</v>
      </c>
      <c r="D91" s="209"/>
      <c r="E91" s="251">
        <f>C91</f>
        <v>3814213</v>
      </c>
      <c r="F91" s="251">
        <f>C91</f>
        <v>3814213</v>
      </c>
    </row>
    <row r="92" spans="2:8" ht="13.9" x14ac:dyDescent="0.4">
      <c r="B92" s="104" t="s">
        <v>105</v>
      </c>
      <c r="C92" s="77">
        <f>C26</f>
        <v>2963493</v>
      </c>
      <c r="D92" s="159">
        <f>C92/C91</f>
        <v>0.77696054205677556</v>
      </c>
      <c r="E92" s="252">
        <f>E91*D92</f>
        <v>2963493</v>
      </c>
      <c r="F92" s="252">
        <f>F91*D92</f>
        <v>2963493</v>
      </c>
    </row>
    <row r="93" spans="2:8" ht="13.9" x14ac:dyDescent="0.4">
      <c r="B93" s="104" t="s">
        <v>247</v>
      </c>
      <c r="C93" s="77">
        <f>C27+C28</f>
        <v>541794</v>
      </c>
      <c r="D93" s="159">
        <f>C93/C91</f>
        <v>0.14204607870614464</v>
      </c>
      <c r="E93" s="252">
        <f>E91*D93</f>
        <v>541794</v>
      </c>
      <c r="F93" s="252">
        <f>F91*D93</f>
        <v>541794</v>
      </c>
    </row>
    <row r="94" spans="2:8" ht="13.9" x14ac:dyDescent="0.4">
      <c r="B94" s="104" t="s">
        <v>256</v>
      </c>
      <c r="C94" s="77">
        <f>C29</f>
        <v>31560</v>
      </c>
      <c r="D94" s="159">
        <f>C94/C91</f>
        <v>8.274315042185636E-3</v>
      </c>
      <c r="E94" s="253"/>
      <c r="F94" s="252">
        <f>F91*D94</f>
        <v>31560</v>
      </c>
    </row>
    <row r="95" spans="2:8" ht="13.9" x14ac:dyDescent="0.4">
      <c r="B95" s="28" t="s">
        <v>246</v>
      </c>
      <c r="C95" s="77">
        <f>ABS(MAX(C33,0)-C32)</f>
        <v>90000</v>
      </c>
      <c r="D95" s="159">
        <f>C95/C91</f>
        <v>2.3595955443495159E-2</v>
      </c>
      <c r="E95" s="252">
        <f>E91*D95</f>
        <v>90000</v>
      </c>
      <c r="F95" s="252">
        <f>F91*D95*0.8</f>
        <v>72000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4146.666666666667</v>
      </c>
      <c r="D97" s="159">
        <f>C97/C91</f>
        <v>1.0871617989521474E-3</v>
      </c>
      <c r="E97" s="253"/>
      <c r="F97" s="252">
        <f>F91*D97</f>
        <v>4146.666666666667</v>
      </c>
    </row>
    <row r="98" spans="2:7" ht="13.9" x14ac:dyDescent="0.4">
      <c r="B98" s="86" t="s">
        <v>207</v>
      </c>
      <c r="C98" s="237">
        <f>C44</f>
        <v>7.8199999999999992E-2</v>
      </c>
      <c r="D98" s="266"/>
      <c r="E98" s="254">
        <f>F98</f>
        <v>7.8199999999999992E-2</v>
      </c>
      <c r="F98" s="254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德昌電機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0179.HK</v>
      </c>
      <c r="D3" s="278"/>
      <c r="E3" s="87"/>
      <c r="F3" s="3" t="s">
        <v>1</v>
      </c>
      <c r="G3" s="132">
        <v>10.58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德昌電機</v>
      </c>
      <c r="D4" s="280"/>
      <c r="E4" s="87"/>
      <c r="F4" s="3" t="s">
        <v>2</v>
      </c>
      <c r="G4" s="283">
        <f>Inputs!C10</f>
        <v>934412034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9886.0793197200001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45016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7.7766799926757813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0.77696054205677556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0.14204607870614464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1.0871617989521474E-3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8.274315042185636E-3</v>
      </c>
      <c r="F24" s="140" t="s">
        <v>258</v>
      </c>
      <c r="G24" s="268">
        <f>G3/(Fin_Analysis!H86*G7)</f>
        <v>8.423622446518932</v>
      </c>
    </row>
    <row r="25" spans="1:8" ht="15.75" customHeight="1" x14ac:dyDescent="0.4">
      <c r="B25" s="137" t="s">
        <v>243</v>
      </c>
      <c r="C25" s="171">
        <f>Fin_Analysis!I82</f>
        <v>1.8876764354796127E-2</v>
      </c>
      <c r="F25" s="140" t="s">
        <v>174</v>
      </c>
      <c r="G25" s="171">
        <f>Fin_Analysis!I88</f>
        <v>0.48418820629429243</v>
      </c>
    </row>
    <row r="26" spans="1:8" ht="15.75" customHeight="1" x14ac:dyDescent="0.4">
      <c r="B26" s="138" t="s">
        <v>173</v>
      </c>
      <c r="C26" s="171">
        <f>Fin_Analysis!I83</f>
        <v>5.275513804114592E-2</v>
      </c>
      <c r="F26" s="141" t="s">
        <v>193</v>
      </c>
      <c r="G26" s="178">
        <f>Fin_Analysis!H88*Exchange_Rate/G3</f>
        <v>5.7479808641516646E-2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10.937515805616307</v>
      </c>
      <c r="D29" s="129">
        <f>G29*(1+G20)</f>
        <v>21.758697246408111</v>
      </c>
      <c r="E29" s="87"/>
      <c r="F29" s="131">
        <f>IF(Fin_Analysis!C108="Profit",Fin_Analysis!F100,IF(Fin_Analysis!C108="Dividend",Fin_Analysis!F103,Fin_Analysis!F106))</f>
        <v>12.867665653666245</v>
      </c>
      <c r="G29" s="274">
        <f>IF(Fin_Analysis!C108="Profit",Fin_Analysis!I100,IF(Fin_Analysis!C108="Dividend",Fin_Analysis!I103,Fin_Analysis!I106))</f>
        <v>18.920606301224446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45016</v>
      </c>
      <c r="E3" s="146" t="s">
        <v>200</v>
      </c>
      <c r="F3" s="85" t="str">
        <f>H14</f>
        <v/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45016</v>
      </c>
      <c r="D5" s="49">
        <f>EOMONTH(EDATE(C5,-12),0)</f>
        <v>44651</v>
      </c>
      <c r="E5" s="49">
        <f t="shared" ref="E5:M5" si="0">EOMONTH(EDATE(D5,-12),0)</f>
        <v>44286</v>
      </c>
      <c r="F5" s="49">
        <f t="shared" si="0"/>
        <v>43921</v>
      </c>
      <c r="G5" s="49">
        <f t="shared" si="0"/>
        <v>43555</v>
      </c>
      <c r="H5" s="49">
        <f t="shared" si="0"/>
        <v>43190</v>
      </c>
      <c r="I5" s="49">
        <f t="shared" si="0"/>
        <v>42825</v>
      </c>
      <c r="J5" s="49">
        <f t="shared" si="0"/>
        <v>42460</v>
      </c>
      <c r="K5" s="49">
        <f t="shared" si="0"/>
        <v>42094</v>
      </c>
      <c r="L5" s="49">
        <f t="shared" si="0"/>
        <v>41729</v>
      </c>
      <c r="M5" s="49">
        <f t="shared" si="0"/>
        <v>41364</v>
      </c>
    </row>
    <row r="6" spans="1:14" ht="15.75" customHeight="1" x14ac:dyDescent="0.4">
      <c r="A6" s="4"/>
      <c r="B6" s="94" t="s">
        <v>11</v>
      </c>
      <c r="C6" s="200">
        <f>IF(Inputs!C25=""," ",Inputs!C25)</f>
        <v>3814213</v>
      </c>
      <c r="D6" s="200">
        <f>IF(Inputs!D25="","",Inputs!D25)</f>
        <v>3646119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4.6102170554499278E-2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2963493</v>
      </c>
      <c r="D8" s="199">
        <f>IF(Inputs!D26="","",Inputs!D26)</f>
        <v>2930208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850720</v>
      </c>
      <c r="D9" s="151">
        <f t="shared" si="2"/>
        <v>715911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541794</v>
      </c>
      <c r="D10" s="199">
        <f>IF(Inputs!D27="","",Inputs!D27)</f>
        <v>556427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4146.666666666667</v>
      </c>
      <c r="D12" s="199">
        <f>IF(Inputs!D30="","",MAX(Inputs!D30,0)/(1-Fin_Analysis!$I$84))</f>
        <v>4613.333333333333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7.9906217438127689E-2</v>
      </c>
      <c r="D13" s="229">
        <f t="shared" si="3"/>
        <v>4.2475483292417682E-2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304779.33333333331</v>
      </c>
      <c r="D14" s="230">
        <f t="shared" ref="D14:M14" si="4">IF(D6="","",D9-D10-MAX(D11,0)-MAX(D12,0))</f>
        <v>154870.66666666666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0.96796036262515817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-70259</v>
      </c>
      <c r="D16" s="199">
        <f>IF(Inputs!D31="","",Inputs!D31)</f>
        <v>-27525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31560</v>
      </c>
      <c r="D17" s="199">
        <f>IF(Inputs!D29="","",Inputs!D29)</f>
        <v>21677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7.2072535015742428E-2</v>
      </c>
      <c r="D18" s="152">
        <f t="shared" si="6"/>
        <v>7.5203250360177498E-2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274900</v>
      </c>
      <c r="D19" s="199">
        <f>IF(Inputs!D32="","",Inputs!D32)</f>
        <v>274200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4.8476579572247276E-2</v>
      </c>
      <c r="D20" s="152">
        <f t="shared" si="7"/>
        <v>6.2148273273582126E-2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184900</v>
      </c>
      <c r="D21" s="199">
        <f>IF(Inputs!D33="","",Inputs!D33)</f>
        <v>226600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183219.33333333331</v>
      </c>
      <c r="D22" s="161">
        <f t="shared" ref="D22:M22" si="8">IF(D6="","",D14-MAX(D16,0)-MAX(D17,0)-ABS(MAX(D21,0)-MAX(D19,0)))</f>
        <v>85593.666666666657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3.6026960214335171E-2</v>
      </c>
      <c r="D23" s="153">
        <f t="shared" si="9"/>
        <v>1.7606460458366825E-2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137414.5</v>
      </c>
      <c r="D24" s="77">
        <f>IF(D6="","",D22*(1-Fin_Analysis!$I$84))</f>
        <v>64195.249999999993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1.1405711481768512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44651</v>
      </c>
      <c r="E26" s="49">
        <f t="shared" ref="E26" si="11">EOMONTH(EDATE(D26,-12),0)</f>
        <v>44286</v>
      </c>
      <c r="F26" s="49">
        <f t="shared" ref="F26" si="12">EOMONTH(EDATE(E26,-12),0)</f>
        <v>43921</v>
      </c>
      <c r="G26" s="49">
        <f t="shared" ref="G26" si="13">EOMONTH(EDATE(F26,-12),0)</f>
        <v>43555</v>
      </c>
      <c r="H26" s="49">
        <f t="shared" ref="H26" si="14">EOMONTH(EDATE(G26,-12),0)</f>
        <v>43190</v>
      </c>
      <c r="I26" s="49">
        <f t="shared" ref="I26" si="15">EOMONTH(EDATE(H26,-12),0)</f>
        <v>42825</v>
      </c>
      <c r="J26" s="49">
        <f t="shared" ref="J26" si="16">EOMONTH(EDATE(I26,-12),0)</f>
        <v>42460</v>
      </c>
      <c r="K26" s="49">
        <f t="shared" ref="K26" si="17">EOMONTH(EDATE(J26,-12),0)</f>
        <v>42094</v>
      </c>
      <c r="L26" s="49">
        <f t="shared" ref="L26" si="18">EOMONTH(EDATE(K26,-12),0)</f>
        <v>41729</v>
      </c>
      <c r="M26" s="49">
        <f t="shared" ref="M26" si="19">EOMONTH(EDATE(L26,-12),0)</f>
        <v>41364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0.77696054205677556</v>
      </c>
      <c r="D42" s="156">
        <f t="shared" si="34"/>
        <v>0.80365122476803419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0.14204607870614464</v>
      </c>
      <c r="D43" s="153">
        <f t="shared" si="35"/>
        <v>0.15260801965048315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8.274315042185636E-3</v>
      </c>
      <c r="D45" s="153">
        <f t="shared" si="37"/>
        <v>5.9452255946665479E-3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1.0871617989521474E-3</v>
      </c>
      <c r="D46" s="153">
        <f t="shared" ref="D46:M46" si="38">IF(D6="","",MAX(D12,0)/D6)</f>
        <v>1.2652722890649846E-3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2.3595955443495159E-2</v>
      </c>
      <c r="D47" s="153">
        <f t="shared" ref="D47:M47" si="39">IF(D6="","",ABS(MAX(D21,0)-MAX(D19,0))/D6)</f>
        <v>1.3054977086595363E-2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4.8035946952446888E-2</v>
      </c>
      <c r="D48" s="153">
        <f t="shared" si="40"/>
        <v>2.347528061115577E-2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>
        <f>IF(D6="","",C16/(C6-D6))</f>
        <v>-0.41797446666745985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0.17225256432181468</v>
      </c>
      <c r="D56" s="153">
        <f t="shared" si="46"/>
        <v>0.25325471900179536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45016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3814213</v>
      </c>
      <c r="D74" s="209"/>
      <c r="E74" s="238">
        <f>Inputs!E91</f>
        <v>3814213</v>
      </c>
      <c r="F74" s="209"/>
      <c r="H74" s="238">
        <f>Inputs!F91</f>
        <v>3814213</v>
      </c>
      <c r="I74" s="209"/>
      <c r="K74" s="24"/>
    </row>
    <row r="75" spans="1:11" ht="15" customHeight="1" x14ac:dyDescent="0.4">
      <c r="B75" s="104" t="s">
        <v>105</v>
      </c>
      <c r="C75" s="77">
        <f>Data!C8</f>
        <v>2963493</v>
      </c>
      <c r="D75" s="159">
        <f>C75/$C$74</f>
        <v>0.77696054205677556</v>
      </c>
      <c r="E75" s="238">
        <f>Inputs!E92</f>
        <v>2963493</v>
      </c>
      <c r="F75" s="160">
        <f>E75/E74</f>
        <v>0.77696054205677556</v>
      </c>
      <c r="H75" s="238">
        <f>Inputs!F92</f>
        <v>2963493</v>
      </c>
      <c r="I75" s="160">
        <f>H75/$H$74</f>
        <v>0.77696054205677556</v>
      </c>
      <c r="K75" s="24"/>
    </row>
    <row r="76" spans="1:11" ht="15" customHeight="1" x14ac:dyDescent="0.4">
      <c r="B76" s="35" t="s">
        <v>95</v>
      </c>
      <c r="C76" s="161">
        <f>C74-C75</f>
        <v>850720</v>
      </c>
      <c r="D76" s="210"/>
      <c r="E76" s="162">
        <f>E74-E75</f>
        <v>850720</v>
      </c>
      <c r="F76" s="210"/>
      <c r="H76" s="162">
        <f>H74-H75</f>
        <v>850720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541794</v>
      </c>
      <c r="D77" s="159">
        <f>C77/$C$74</f>
        <v>0.14204607870614464</v>
      </c>
      <c r="E77" s="238">
        <f>Inputs!E93</f>
        <v>541794</v>
      </c>
      <c r="F77" s="160">
        <f>E77/E74</f>
        <v>0.14204607870614464</v>
      </c>
      <c r="H77" s="238">
        <f>Inputs!F93</f>
        <v>541794</v>
      </c>
      <c r="I77" s="160">
        <f>H77/$H$74</f>
        <v>0.14204607870614464</v>
      </c>
      <c r="K77" s="24"/>
    </row>
    <row r="78" spans="1:11" ht="15" customHeight="1" x14ac:dyDescent="0.4">
      <c r="B78" s="73" t="s">
        <v>172</v>
      </c>
      <c r="C78" s="77">
        <f>MAX(Data!C12,0)</f>
        <v>4146.666666666667</v>
      </c>
      <c r="D78" s="159">
        <f>C78/$C$74</f>
        <v>1.0871617989521474E-3</v>
      </c>
      <c r="E78" s="180">
        <f>E74*F78</f>
        <v>4146.666666666667</v>
      </c>
      <c r="F78" s="160">
        <f>I78</f>
        <v>1.0871617989521474E-3</v>
      </c>
      <c r="H78" s="238">
        <f>Inputs!F97</f>
        <v>4146.666666666667</v>
      </c>
      <c r="I78" s="160">
        <f>H78/$H$74</f>
        <v>1.0871617989521474E-3</v>
      </c>
      <c r="K78" s="24"/>
    </row>
    <row r="79" spans="1:11" ht="15" customHeight="1" x14ac:dyDescent="0.4">
      <c r="B79" s="256" t="s">
        <v>232</v>
      </c>
      <c r="C79" s="257">
        <f>C76-C77-C78</f>
        <v>304779.33333333331</v>
      </c>
      <c r="D79" s="258">
        <f>C79/C74</f>
        <v>7.9906217438127689E-2</v>
      </c>
      <c r="E79" s="259">
        <f>E76-E77-E78</f>
        <v>304779.33333333331</v>
      </c>
      <c r="F79" s="258">
        <f>E79/E74</f>
        <v>7.9906217438127689E-2</v>
      </c>
      <c r="G79" s="260"/>
      <c r="H79" s="259">
        <f>H76-H77-H78</f>
        <v>304779.33333333331</v>
      </c>
      <c r="I79" s="258">
        <f>H79/H74</f>
        <v>7.9906217438127689E-2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31560</v>
      </c>
      <c r="D81" s="159">
        <f>C81/$C$74</f>
        <v>8.274315042185636E-3</v>
      </c>
      <c r="E81" s="180">
        <f>E74*F81</f>
        <v>31560</v>
      </c>
      <c r="F81" s="160">
        <f>I81</f>
        <v>8.274315042185636E-3</v>
      </c>
      <c r="H81" s="238">
        <f>Inputs!F94</f>
        <v>31560</v>
      </c>
      <c r="I81" s="160">
        <f>H81/$H$74</f>
        <v>8.274315042185636E-3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90000</v>
      </c>
      <c r="D82" s="159">
        <f>C82/$C$74</f>
        <v>2.3595955443495159E-2</v>
      </c>
      <c r="E82" s="238">
        <f>Inputs!E95</f>
        <v>90000</v>
      </c>
      <c r="F82" s="160">
        <f>E82/E74</f>
        <v>2.3595955443495159E-2</v>
      </c>
      <c r="H82" s="238">
        <f>Inputs!F95</f>
        <v>72000</v>
      </c>
      <c r="I82" s="160">
        <f>H82/$H$74</f>
        <v>1.8876764354796127E-2</v>
      </c>
      <c r="K82" s="24"/>
    </row>
    <row r="83" spans="1:11" ht="15" customHeight="1" thickBot="1" x14ac:dyDescent="0.45">
      <c r="B83" s="105" t="s">
        <v>125</v>
      </c>
      <c r="C83" s="163">
        <f>C79-C81-C82-C80</f>
        <v>183219.33333333331</v>
      </c>
      <c r="D83" s="164">
        <f>C83/$C$74</f>
        <v>4.8035946952446888E-2</v>
      </c>
      <c r="E83" s="165">
        <f>E79-E81-E82-E80</f>
        <v>183219.33333333331</v>
      </c>
      <c r="F83" s="164">
        <f>E83/E74</f>
        <v>4.8035946952446888E-2</v>
      </c>
      <c r="H83" s="165">
        <f>H79-H81-H82-H80</f>
        <v>201219.33333333331</v>
      </c>
      <c r="I83" s="164">
        <f>H83/$H$74</f>
        <v>5.275513804114592E-2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137414.5</v>
      </c>
      <c r="D85" s="258">
        <f>C85/$C$74</f>
        <v>3.6026960214335171E-2</v>
      </c>
      <c r="E85" s="264">
        <f>E83*(1-F84)</f>
        <v>137414.5</v>
      </c>
      <c r="F85" s="258">
        <f>E85/E74</f>
        <v>3.6026960214335171E-2</v>
      </c>
      <c r="G85" s="260"/>
      <c r="H85" s="264">
        <f>H83*(1-I84)</f>
        <v>150914.5</v>
      </c>
      <c r="I85" s="258">
        <f>H85/$H$74</f>
        <v>3.9566353530859445E-2</v>
      </c>
      <c r="K85" s="24"/>
    </row>
    <row r="86" spans="1:11" ht="15" customHeight="1" x14ac:dyDescent="0.4">
      <c r="B86" s="87" t="s">
        <v>160</v>
      </c>
      <c r="C86" s="167">
        <f>C85*Data!C4/Common_Shares</f>
        <v>0.14705985689392354</v>
      </c>
      <c r="D86" s="209"/>
      <c r="E86" s="168">
        <f>E85*Data!C4/Common_Shares</f>
        <v>0.14705985689392354</v>
      </c>
      <c r="F86" s="209"/>
      <c r="H86" s="168">
        <f>H85*Data!C4/Common_Shares</f>
        <v>0.1615074447981692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0.10809427663825509</v>
      </c>
      <c r="D87" s="209"/>
      <c r="E87" s="262">
        <f>E86*Exchange_Rate/Dashboard!G3</f>
        <v>0.10809427663825509</v>
      </c>
      <c r="F87" s="209"/>
      <c r="H87" s="262">
        <f>H86*Exchange_Rate/Dashboard!G3</f>
        <v>0.11871377264934882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7.8199999999999992E-2</v>
      </c>
      <c r="D88" s="166">
        <f>C88/C86</f>
        <v>0.53175626341324955</v>
      </c>
      <c r="E88" s="170">
        <f>Inputs!E98</f>
        <v>7.8199999999999992E-2</v>
      </c>
      <c r="F88" s="166">
        <f>E88/E86</f>
        <v>0.53175626341324955</v>
      </c>
      <c r="H88" s="170">
        <f>Inputs!F98</f>
        <v>7.8199999999999992E-2</v>
      </c>
      <c r="I88" s="166">
        <f>H88/H86</f>
        <v>0.48418820629429243</v>
      </c>
      <c r="K88" s="24"/>
    </row>
    <row r="89" spans="1:11" ht="15" customHeight="1" x14ac:dyDescent="0.4">
      <c r="B89" s="87" t="s">
        <v>221</v>
      </c>
      <c r="C89" s="261">
        <f>C88*Exchange_Rate/Dashboard!G3</f>
        <v>5.7479808641516646E-2</v>
      </c>
      <c r="D89" s="209"/>
      <c r="E89" s="261">
        <f>E88*Exchange_Rate/Dashboard!G3</f>
        <v>5.7479808641516646E-2</v>
      </c>
      <c r="F89" s="209"/>
      <c r="H89" s="261">
        <f>H88*Exchange_Rate/Dashboard!G3</f>
        <v>5.7479808641516646E-2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34.581166872467662</v>
      </c>
      <c r="H93" s="87" t="s">
        <v>209</v>
      </c>
      <c r="I93" s="144">
        <f>FV(H87,D93,0,-(H86/(C93-D94)))*Exchange_Rate</f>
        <v>39.833586982412953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14.55556667025666</v>
      </c>
      <c r="H94" s="87" t="s">
        <v>210</v>
      </c>
      <c r="I94" s="144">
        <f>FV(H89,D93,0,-(H88/(C93-D94)))*Exchange_Rate</f>
        <v>14.55556667025666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18505406.829314061</v>
      </c>
      <c r="D97" s="213"/>
      <c r="E97" s="123">
        <f>PV(C94,D93,0,-F93)</f>
        <v>17.192951648458845</v>
      </c>
      <c r="F97" s="213"/>
      <c r="H97" s="123">
        <f>PV(C94,D93,0,-I93)</f>
        <v>19.80433273113653</v>
      </c>
      <c r="I97" s="123">
        <f>PV(C93,D93,0,-I93)</f>
        <v>27.714188077748162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18505406.829314061</v>
      </c>
      <c r="D100" s="109">
        <f>MIN(F100*(1-C94),E100)</f>
        <v>15.723845861328032</v>
      </c>
      <c r="E100" s="109">
        <f>MAX(E97-H98+E99,0)</f>
        <v>17.192951648458845</v>
      </c>
      <c r="F100" s="109">
        <f>(E100+H100)/2</f>
        <v>18.498642189797685</v>
      </c>
      <c r="H100" s="109">
        <f>MAX(C100*Data!$C$4/Common_Shares,0)</f>
        <v>19.80433273113653</v>
      </c>
      <c r="I100" s="109">
        <f>MAX(I97-H98+H99,0)</f>
        <v>27.714188077748162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6762049.3977413634</v>
      </c>
      <c r="D103" s="109">
        <f>MIN(F103*(1-C94),E103)</f>
        <v>6.1511857499045846</v>
      </c>
      <c r="E103" s="123">
        <f>PV(C94,D93,0,-F94)</f>
        <v>7.236689117534806</v>
      </c>
      <c r="F103" s="109">
        <f>(E103+H103)/2</f>
        <v>7.236689117534806</v>
      </c>
      <c r="H103" s="123">
        <f>PV(C94,D93,0,-I94)</f>
        <v>7.236689117534806</v>
      </c>
      <c r="I103" s="109">
        <f>PV(C93,D93,0,-I94)</f>
        <v>10.127024524700728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11413675.159020722</v>
      </c>
      <c r="D106" s="109">
        <f>(D100+D103)/2</f>
        <v>10.937515805616307</v>
      </c>
      <c r="E106" s="123">
        <f>(E100+E103)/2</f>
        <v>12.214820382996825</v>
      </c>
      <c r="F106" s="109">
        <f>(F100+F103)/2</f>
        <v>12.867665653666245</v>
      </c>
      <c r="H106" s="123">
        <f>(H100+H103)/2</f>
        <v>13.520510924335667</v>
      </c>
      <c r="I106" s="123">
        <f>(I100+I103)/2</f>
        <v>18.920606301224446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