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E1E5B2A-3A2E-43AE-9757-5F0E15C5B792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F94" i="4"/>
  <c r="F93" i="4"/>
  <c r="E93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H44" i="4"/>
  <c r="G44" i="4"/>
  <c r="F44" i="4"/>
  <c r="E44" i="4"/>
  <c r="D44" i="4"/>
  <c r="C44" i="4"/>
  <c r="D39" i="4"/>
  <c r="M52" i="2"/>
  <c r="F95" i="4" l="1"/>
  <c r="F96" i="4"/>
  <c r="E95" i="4"/>
  <c r="D56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G52" i="2"/>
  <c r="F52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4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<sst xmlns="http://schemas.openxmlformats.org/spreadsheetml/2006/main" count="391" uniqueCount="272">
  <si>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</si>
  <si>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</si>
  <si>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</si>
  <si>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</si>
  <si>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</si>
  <si>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</si>
  <si>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</si>
  <si>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</si>
  <si>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</si>
  <si>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</si>
  <si>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</si>
  <si>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</si>
  <si>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</si>
  <si>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</si>
  <si>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</si>
  <si>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</si>
  <si>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</si>
  <si>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</si>
  <si>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</si>
  <si>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</si>
  <si>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</si>
  <si>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</si>
  <si>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</si>
  <si>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</si>
  <si>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</si>
  <si>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</si>
  <si>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</si>
  <si>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</si>
  <si>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</si>
  <si>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</si>
  <si>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</si>
  <si>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</si>
  <si>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</si>
  <si>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</si>
  <si>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</si>
  <si>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</si>
  <si>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</si>
  <si>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</si>
  <si>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</si>
  <si>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</si>
  <si>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</si>
  <si>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</si>
  <si>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</si>
  <si>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</si>
  <si>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</si>
  <si>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</si>
  <si>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</si>
  <si>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</si>
  <si>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</si>
  <si>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</si>
  <si>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</si>
  <si>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</si>
  <si>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</si>
  <si>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</si>
  <si>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</si>
  <si>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</si>
  <si>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</si>
  <si>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</si>
  <si>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</si>
  <si>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</si>
  <si>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</si>
  <si>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</si>
  <si>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</si>
  <si>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</si>
  <si>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</si>
  <si>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</si>
  <si>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</si>
  <si>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</si>
  <si>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</si>
  <si>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</si>
  <si>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</si>
  <si>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</si>
  <si>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</si>
  <si>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</si>
  <si>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</si>
  <si>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</si>
  <si>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</si>
  <si>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</si>
  <si>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</si>
  <si>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</si>
  <si>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</si>
  <si>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</si>
  <si>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</si>
  <si>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</si>
  <si>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</si>
  <si>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</si>
  <si>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</si>
  <si>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</si>
  <si>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</si>
  <si>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</si>
  <si>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</si>
  <si>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</si>
  <si>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</si>
  <si>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</si>
  <si>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</si>
  <si>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</si>
  <si>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</si>
  <si>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</si>
  <si>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</si>
  <si>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</si>
  <si>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</si>
  <si>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</si>
  <si>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</si>
  <si>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</si>
  <si>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</si>
  <si>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</si>
  <si>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</si>
  <si>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</si>
  <si>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</si>
  <si>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</si>
  <si>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</si>
  <si>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</si>
  <si>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</si>
  <si>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</si>
  <si>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</si>
  <si>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</si>
  <si>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</si>
  <si>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</si>
  <si>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</si>
  <si>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</si>
  <si>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</si>
  <si>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</si>
  <si>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</si>
  <si>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</si>
  <si>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</si>
  <si>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</si>
  <si>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</si>
  <si>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</si>
  <si>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</si>
  <si>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</si>
  <si>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</si>
  <si>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</si>
  <si>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</si>
  <si>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</si>
  <si>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</si>
  <si>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</si>
  <si>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</si>
  <si>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</si>
  <si>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</si>
  <si>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</si>
  <si>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</si>
  <si>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</si>
  <si>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</si>
  <si>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</si>
  <si>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</si>
  <si>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</si>
  <si>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</si>
  <si>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</si>
  <si>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</si>
  <si>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</si>
  <si>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</si>
  <si>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</si>
  <si>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</si>
  <si>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</si>
  <si>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</si>
  <si>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</si>
  <si>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</si>
  <si>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</si>
  <si>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</si>
  <si>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</si>
  <si>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</si>
  <si>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</si>
  <si>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</si>
  <si>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</si>
  <si>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</si>
  <si>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</si>
  <si>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</si>
  <si>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</si>
  <si>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</si>
  <si>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</si>
  <si>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</si>
  <si>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</si>
  <si>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</si>
  <si>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</si>
  <si>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</si>
  <si>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</si>
  <si>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</si>
  <si>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</si>
  <si>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</si>
  <si>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</si>
  <si>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</si>
  <si>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</si>
  <si>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</si>
  <si>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</si>
  <si>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</si>
  <si>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</si>
  <si>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</si>
  <si>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</si>
  <si>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</si>
  <si>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</si>
  <si>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</si>
  <si>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</si>
  <si>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</si>
  <si>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</si>
  <si>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</si>
  <si>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</si>
  <si>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</si>
  <si>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</si>
  <si>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</si>
  <si>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</si>
  <si>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</si>
  <si>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</si>
  <si>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</si>
  <si>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</si>
  <si>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</si>
  <si>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</si>
  <si>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</si>
  <si>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</si>
  <si>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</si>
  <si>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</si>
  <si>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</si>
  <si>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</si>
  <si>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</si>
  <si>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</si>
  <si>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</si>
  <si>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</si>
  <si>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</si>
  <si>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</si>
  <si>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</si>
  <si>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</si>
  <si>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</si>
  <si>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</si>
  <si>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</si>
  <si>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</si>
  <si>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</si>
  <si>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</si>
  <si>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</si>
  <si>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</si>
  <si>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</si>
  <si>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</si>
  <si>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</si>
  <si>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</si>
  <si>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</si>
  <si>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</si>
  <si>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</si>
  <si>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</si>
  <si>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</si>
  <si>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</si>
  <si>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</si>
  <si>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</si>
  <si>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</si>
  <si>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</si>
  <si>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</si>
  <si>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</si>
  <si>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0590.HK</t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</si>
  <si>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</si>
  <si>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</si>
  <si>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</si>
  <si>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</si>
  <si>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</si>
  <si>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</si>
  <si>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</si>
  <si>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</si>
  <si>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</si>
  <si>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</si>
  <si>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</si>
  <si>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</si>
  <si>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</si>
  <si>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</si>
  <si>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</si>
  <si>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</si>
  <si>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</si>
  <si>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</si>
  <si>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</si>
  <si>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</si>
  <si>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</si>
  <si>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六福珠宝</t>
  </si>
  <si>
    <t xml:space="preserve">Superior Cycl. </t>
  </si>
  <si>
    <t>Strongly agree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</si>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</sst>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0.72762956087193742</c:v>
                </c:pt>
                <c:pt idx="1">
                  <c:v>0.16540000000000002</c:v>
                </c:pt>
                <c:pt idx="2">
                  <c:v>0</c:v>
                </c:pt>
                <c:pt idx="3">
                  <c:v>0.02</c:v>
                </c:pt>
                <c:pt idx="4">
                  <c:v>3.8885650375487034E-3</c:v>
                </c:pt>
                <c:pt idx="5">
                  <c:v>0.01</c:v>
                </c:pt>
                <c:pt idx="6">
                  <c:v>7.3081874090513851E-2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244</v>
      </c>
    </row>
    <row r="5" spans="1:5" ht="13.9" x14ac:dyDescent="0.4">
      <c r="B5" s="141" t="s">
        <v>196</v>
      </c>
      <c r="C5" s="191" t="s">
        <v>266</v>
      </c>
    </row>
    <row r="6" spans="1:5" ht="13.9" x14ac:dyDescent="0.4">
      <c r="B6" s="141" t="s">
        <v>164</v>
      </c>
      <c r="C6" s="189">
        <v>45593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267</v>
      </c>
      <c r="E8" s="267"/>
    </row>
    <row r="9" spans="1:5" ht="13.9" x14ac:dyDescent="0.4">
      <c r="B9" s="140" t="s">
        <v>217</v>
      </c>
      <c r="C9" s="192" t="s">
        <v>245</v>
      </c>
    </row>
    <row r="10" spans="1:5" ht="13.9" x14ac:dyDescent="0.4">
      <c r="B10" s="140" t="s">
        <v>218</v>
      </c>
      <c r="C10" s="193">
        <v>587107850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45382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220</v>
      </c>
      <c r="C14" s="219">
        <v>45382</v>
      </c>
    </row>
    <row r="15" spans="1:5" ht="13.9" x14ac:dyDescent="0.4">
      <c r="B15" s="218" t="s">
        <v>259</v>
      </c>
      <c r="C15" s="176" t="s">
        <v>190</v>
      </c>
    </row>
    <row r="16" spans="1:5" ht="13.9" x14ac:dyDescent="0.4">
      <c r="B16" s="222" t="s">
        <v>97</v>
      </c>
      <c r="C16" s="223">
        <v>0.25</v>
      </c>
      <c r="D16" s="24"/>
    </row>
    <row r="17" spans="2:13" ht="13.9" x14ac:dyDescent="0.4">
      <c r="B17" s="240" t="s">
        <v>225</v>
      </c>
      <c r="C17" s="242" t="s">
        <v>268</v>
      </c>
      <c r="D17" s="24"/>
    </row>
    <row r="18" spans="2:13" ht="13.9" x14ac:dyDescent="0.4">
      <c r="B18" s="240" t="s">
        <v>239</v>
      </c>
      <c r="C18" s="242" t="s">
        <v>248</v>
      </c>
      <c r="D18" s="24"/>
    </row>
    <row r="19" spans="2:13" ht="13.9" x14ac:dyDescent="0.4">
      <c r="B19" s="240" t="s">
        <v>240</v>
      </c>
      <c r="C19" s="242" t="s">
        <v>269</v>
      </c>
      <c r="D19" s="24"/>
    </row>
    <row r="20" spans="2:13" ht="13.9" x14ac:dyDescent="0.4">
      <c r="B20" s="241" t="s">
        <v>229</v>
      </c>
      <c r="C20" s="242" t="s">
        <v>269</v>
      </c>
      <c r="D20" s="24"/>
    </row>
    <row r="21" spans="2:13" ht="13.9" x14ac:dyDescent="0.4">
      <c r="B21" s="224" t="s">
        <v>232</v>
      </c>
      <c r="C21" s="242" t="s">
        <v>268</v>
      </c>
      <c r="D21" s="24"/>
    </row>
    <row r="22" spans="2:13" ht="78.75" x14ac:dyDescent="0.4">
      <c r="B22" s="226" t="s">
        <v>231</v>
      </c>
      <c r="C22" s="243" t="s">
        <v>270</v>
      </c>
      <c r="D22" s="24"/>
    </row>
    <row r="24" spans="2:13" ht="13.9" x14ac:dyDescent="0.4">
      <c r="B24" s="115" t="s">
        <v>134</v>
      </c>
      <c r="C24" s="48">
        <f>C12</f>
        <v>45382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4" t="s">
        <v>12</v>
      </c>
      <c r="C25" s="149">
        <v>15325962</v>
      </c>
      <c r="D25" s="149">
        <v>11977844</v>
      </c>
      <c r="E25" s="149">
        <v>11737803</v>
      </c>
      <c r="F25" s="149">
        <v>8861335</v>
      </c>
      <c r="G25" s="149">
        <v>11233771</v>
      </c>
      <c r="H25" s="149">
        <v>15859990</v>
      </c>
      <c r="I25" s="149"/>
      <c r="J25" s="149"/>
      <c r="K25" s="149"/>
      <c r="L25" s="149"/>
      <c r="M25" s="149"/>
    </row>
    <row r="26" spans="2:13" ht="13.9" x14ac:dyDescent="0.4">
      <c r="B26" s="97" t="s">
        <v>106</v>
      </c>
      <c r="C26" s="150">
        <v>11151623</v>
      </c>
      <c r="D26" s="150">
        <v>8747447</v>
      </c>
      <c r="E26" s="150">
        <v>8503976</v>
      </c>
      <c r="F26" s="150">
        <v>6229020</v>
      </c>
      <c r="G26" s="150">
        <v>7910751</v>
      </c>
      <c r="H26" s="150">
        <v>11826154</v>
      </c>
      <c r="I26" s="150"/>
      <c r="J26" s="150"/>
      <c r="K26" s="150"/>
      <c r="L26" s="150"/>
      <c r="M26" s="150"/>
    </row>
    <row r="27" spans="2:13" ht="13.9" x14ac:dyDescent="0.4">
      <c r="B27" s="97" t="s">
        <v>104</v>
      </c>
      <c r="C27" s="150">
        <v>2297566</v>
      </c>
      <c r="D27" s="150">
        <v>1867515</v>
      </c>
      <c r="E27" s="150">
        <v>1815111</v>
      </c>
      <c r="F27" s="150">
        <v>1694480</v>
      </c>
      <c r="G27" s="150">
        <v>2118252</v>
      </c>
      <c r="H27" s="150">
        <v>2416769</v>
      </c>
      <c r="I27" s="150"/>
      <c r="J27" s="150"/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260</v>
      </c>
      <c r="C29" s="150">
        <v>59596</v>
      </c>
      <c r="D29" s="150">
        <v>20763</v>
      </c>
      <c r="E29" s="150">
        <v>23097</v>
      </c>
      <c r="F29" s="150">
        <v>28849</v>
      </c>
      <c r="G29" s="150">
        <v>63075</v>
      </c>
      <c r="H29" s="150">
        <v>34253</v>
      </c>
      <c r="I29" s="150"/>
      <c r="J29" s="150"/>
      <c r="K29" s="150"/>
      <c r="L29" s="150"/>
      <c r="M29" s="150"/>
    </row>
    <row r="30" spans="2:13" ht="13.9" x14ac:dyDescent="0.4">
      <c r="B30" s="99" t="s">
        <v>111</v>
      </c>
      <c r="C30" s="150">
        <v>-9467</v>
      </c>
      <c r="D30" s="150">
        <v>-30</v>
      </c>
      <c r="E30" s="150">
        <v>-27</v>
      </c>
      <c r="F30" s="150">
        <v>1799</v>
      </c>
      <c r="G30" s="150">
        <v>1337</v>
      </c>
      <c r="H30" s="150">
        <v>10908</v>
      </c>
      <c r="I30" s="150"/>
      <c r="J30" s="150"/>
      <c r="K30" s="150"/>
      <c r="L30" s="150"/>
      <c r="M30" s="150"/>
    </row>
    <row r="31" spans="2:13" ht="13.9" x14ac:dyDescent="0.4">
      <c r="B31" s="97" t="s">
        <v>110</v>
      </c>
      <c r="C31" s="150">
        <v>626583</v>
      </c>
      <c r="D31" s="150">
        <v>352099</v>
      </c>
      <c r="E31" s="150">
        <v>1045251</v>
      </c>
      <c r="F31" s="150">
        <v>-818677</v>
      </c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>
        <v>456554</v>
      </c>
      <c r="D32" s="150">
        <v>373191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>
        <v>676387</v>
      </c>
      <c r="D33" s="150">
        <v>107280</v>
      </c>
      <c r="E33" s="150">
        <v>455483</v>
      </c>
      <c r="F33" s="150">
        <v>138937</v>
      </c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>
        <v>11972903</v>
      </c>
      <c r="E34" s="150">
        <v>13002006</v>
      </c>
      <c r="F34" s="150">
        <v>11732726</v>
      </c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>
        <v>213823</v>
      </c>
      <c r="E35" s="150">
        <v>187711</v>
      </c>
      <c r="F35" s="150">
        <v>277338</v>
      </c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>
        <v>8852611</v>
      </c>
      <c r="E36" s="150">
        <v>8769304</v>
      </c>
      <c r="F36" s="150">
        <v>7321614</v>
      </c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>
        <v>2466431</v>
      </c>
      <c r="E37" s="150">
        <v>3908586</v>
      </c>
      <c r="F37" s="150">
        <v>2946772</v>
      </c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>
        <v>241133</v>
      </c>
      <c r="E38" s="150">
        <v>233155</v>
      </c>
      <c r="F38" s="150">
        <v>241043</v>
      </c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>
        <f>35175+1000000</f>
        <v>1035175</v>
      </c>
      <c r="E39" s="150">
        <v>1587989</v>
      </c>
      <c r="F39" s="150">
        <v>1050082</v>
      </c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>
        <v>67759</v>
      </c>
      <c r="E40" s="150">
        <v>153013</v>
      </c>
      <c r="F40" s="150">
        <v>81854</v>
      </c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>
        <v>12220942</v>
      </c>
      <c r="E41" s="150">
        <v>12078528</v>
      </c>
      <c r="F41" s="150">
        <v>11324224</v>
      </c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>
        <v>-498</v>
      </c>
      <c r="E42" s="150">
        <v>468</v>
      </c>
      <c r="F42" s="150">
        <v>411</v>
      </c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>
        <v>3475378</v>
      </c>
      <c r="E43" s="150">
        <v>4499643</v>
      </c>
      <c r="F43" s="150">
        <v>4455433</v>
      </c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f>0.72+0.64</f>
        <v>1.3599999999999999</v>
      </c>
      <c r="D44" s="250">
        <f>0.55+0.55</f>
        <v>1.1000000000000001</v>
      </c>
      <c r="E44" s="250">
        <f>0.55+0.55</f>
        <v>1.1000000000000001</v>
      </c>
      <c r="F44" s="250">
        <f>0.5+0.5</f>
        <v>1</v>
      </c>
      <c r="G44" s="250">
        <f>0.5+0.5</f>
        <v>1</v>
      </c>
      <c r="H44" s="250">
        <f>0.6+0.55</f>
        <v>1.1499999999999999</v>
      </c>
      <c r="I44" s="250"/>
      <c r="J44" s="250"/>
      <c r="K44" s="250"/>
      <c r="L44" s="250"/>
      <c r="M44" s="250"/>
    </row>
    <row r="45" spans="2:13" ht="13.9" x14ac:dyDescent="0.4">
      <c r="B45" s="74" t="s">
        <v>256</v>
      </c>
      <c r="C45" s="152">
        <f>IF(C44="","",C44*Exchange_Rate/Dashboard!$G$3)</f>
        <v>9.4052558782849224E-2</v>
      </c>
      <c r="D45" s="152">
        <f>IF(D44="","",D44*Exchange_Rate/Dashboard!$G$3)</f>
        <v>7.6071922544951598E-2</v>
      </c>
      <c r="E45" s="152">
        <f>IF(E44="","",E44*Exchange_Rate/Dashboard!$G$3)</f>
        <v>7.6071922544951598E-2</v>
      </c>
      <c r="F45" s="152">
        <f>IF(F44="","",F44*Exchange_Rate/Dashboard!$G$3)</f>
        <v>6.9156293222683254E-2</v>
      </c>
      <c r="G45" s="152">
        <f>IF(G44="","",G44*Exchange_Rate/Dashboard!$G$3)</f>
        <v>6.9156293222683254E-2</v>
      </c>
      <c r="H45" s="152">
        <f>IF(H44="","",H44*Exchange_Rate/Dashboard!$G$3)</f>
        <v>7.9529737206085749E-2</v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252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>
        <v>1998219</v>
      </c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>
        <v>265773</v>
      </c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264</v>
      </c>
      <c r="C54" s="59">
        <v>366595</v>
      </c>
      <c r="D54" s="60">
        <v>0.1</v>
      </c>
      <c r="E54" s="112"/>
    </row>
    <row r="55" spans="2:5" ht="13.9" x14ac:dyDescent="0.4">
      <c r="B55" s="3" t="s">
        <v>47</v>
      </c>
      <c r="C55" s="59">
        <v>9672256</v>
      </c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1" t="s">
        <v>71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>
        <v>29465</v>
      </c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263</v>
      </c>
      <c r="C64" s="59">
        <v>103050</v>
      </c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1" t="s">
        <v>71</v>
      </c>
    </row>
    <row r="66" spans="2:5" ht="13.9" x14ac:dyDescent="0.4">
      <c r="B66" s="3" t="s">
        <v>72</v>
      </c>
      <c r="C66" s="59">
        <v>925726</v>
      </c>
      <c r="D66" s="60">
        <v>0.2</v>
      </c>
      <c r="E66" s="221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>
        <v>2522337</v>
      </c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>
        <v>538321</v>
      </c>
      <c r="D70" s="60">
        <v>0.05</v>
      </c>
      <c r="E70" s="112"/>
    </row>
    <row r="71" spans="2:5" ht="13.9" x14ac:dyDescent="0.4">
      <c r="B71" s="3" t="s">
        <v>75</v>
      </c>
      <c r="C71" s="59">
        <v>154648</v>
      </c>
      <c r="D71" s="60">
        <f>D58</f>
        <v>0.9</v>
      </c>
      <c r="E71" s="112"/>
    </row>
    <row r="72" spans="2:5" ht="14.25" thickBot="1" x14ac:dyDescent="0.45">
      <c r="B72" s="246" t="s">
        <v>76</v>
      </c>
      <c r="C72" s="247">
        <v>277674</v>
      </c>
      <c r="D72" s="248">
        <v>0</v>
      </c>
      <c r="E72" s="249"/>
    </row>
    <row r="73" spans="2:5" ht="13.9" x14ac:dyDescent="0.4">
      <c r="B73" s="3" t="s">
        <v>39</v>
      </c>
      <c r="C73" s="59">
        <v>1427805</v>
      </c>
    </row>
    <row r="74" spans="2:5" ht="13.9" x14ac:dyDescent="0.4">
      <c r="B74" s="3" t="s">
        <v>40</v>
      </c>
      <c r="C74" s="59">
        <v>287697</v>
      </c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>
        <v>3516809</v>
      </c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>
        <v>319420</v>
      </c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>
        <v>473357</v>
      </c>
    </row>
    <row r="83" spans="2:8" ht="14.25" thickTop="1" x14ac:dyDescent="0.4">
      <c r="B83" s="73" t="s">
        <v>221</v>
      </c>
      <c r="C83" s="59">
        <v>12890860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253</v>
      </c>
      <c r="C86" s="197">
        <v>5</v>
      </c>
    </row>
    <row r="87" spans="2:8" ht="13.9" x14ac:dyDescent="0.4">
      <c r="B87" s="10" t="s">
        <v>251</v>
      </c>
      <c r="C87" s="236" t="s">
        <v>254</v>
      </c>
      <c r="D87" s="269">
        <v>0.02</v>
      </c>
    </row>
    <row r="89" spans="2:8" ht="13.5" x14ac:dyDescent="0.35">
      <c r="B89" s="106" t="s">
        <v>128</v>
      </c>
      <c r="C89" s="271">
        <f>C24</f>
        <v>45382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15325962</v>
      </c>
      <c r="D91" s="209"/>
      <c r="E91" s="251">
        <f>C91*0.8</f>
        <v>12260769.600000001</v>
      </c>
      <c r="F91" s="251">
        <f>C91</f>
        <v>15325962</v>
      </c>
    </row>
    <row r="92" spans="2:8" ht="13.9" x14ac:dyDescent="0.4">
      <c r="B92" s="104" t="s">
        <v>106</v>
      </c>
      <c r="C92" s="77">
        <f>C26</f>
        <v>11151623</v>
      </c>
      <c r="D92" s="159">
        <f>C92/C91</f>
        <v>0.72762956087193742</v>
      </c>
      <c r="E92" s="252">
        <f>E91*D92</f>
        <v>8921298.4000000004</v>
      </c>
      <c r="F92" s="252">
        <f>F91*D92</f>
        <v>11151623</v>
      </c>
    </row>
    <row r="93" spans="2:8" ht="13.9" x14ac:dyDescent="0.4">
      <c r="B93" s="104" t="s">
        <v>250</v>
      </c>
      <c r="C93" s="77">
        <f>C27+C28</f>
        <v>2297566</v>
      </c>
      <c r="D93" s="159">
        <f>C93/C91</f>
        <v>0.14991333007350532</v>
      </c>
      <c r="E93" s="252">
        <f>E91*16.54%</f>
        <v>2027931.2918400001</v>
      </c>
      <c r="F93" s="252">
        <f>F91*16.54%</f>
        <v>2534914.1148000001</v>
      </c>
    </row>
    <row r="94" spans="2:8" ht="13.9" x14ac:dyDescent="0.4">
      <c r="B94" s="104" t="s">
        <v>260</v>
      </c>
      <c r="C94" s="77">
        <f>C29</f>
        <v>59596</v>
      </c>
      <c r="D94" s="159">
        <f>C94/C91</f>
        <v>3.8885650375487034E-3</v>
      </c>
      <c r="E94" s="253"/>
      <c r="F94" s="252">
        <f>F91*D94</f>
        <v>59596</v>
      </c>
    </row>
    <row r="95" spans="2:8" ht="13.9" x14ac:dyDescent="0.4">
      <c r="B95" s="28" t="s">
        <v>249</v>
      </c>
      <c r="C95" s="77">
        <f>ABS(MAX(C33,0)-C32)</f>
        <v>219833</v>
      </c>
      <c r="D95" s="159">
        <f>C95/C91</f>
        <v>1.4343830423173436E-2</v>
      </c>
      <c r="E95" s="252">
        <f>E91*0.01</f>
        <v>122607.69600000001</v>
      </c>
      <c r="F95" s="252">
        <f>F91*0.01</f>
        <v>153259.62</v>
      </c>
    </row>
    <row r="96" spans="2:8" ht="13.9" x14ac:dyDescent="0.4">
      <c r="B96" s="28" t="s">
        <v>110</v>
      </c>
      <c r="C96" s="77">
        <f>MAX(C31,0)</f>
        <v>626583</v>
      </c>
      <c r="D96" s="159">
        <f>C96/C91</f>
        <v>4.0883763120383568E-2</v>
      </c>
      <c r="E96" s="253"/>
      <c r="F96" s="252">
        <f>F91*2%</f>
        <v>306519.24</v>
      </c>
    </row>
    <row r="97" spans="2:7" ht="13.9" x14ac:dyDescent="0.4">
      <c r="B97" s="73" t="s">
        <v>173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208</v>
      </c>
      <c r="C98" s="237">
        <f>C44</f>
        <v>1.3599999999999999</v>
      </c>
      <c r="D98" s="266"/>
      <c r="E98" s="254">
        <v>1</v>
      </c>
      <c r="F98" s="254">
        <f>0.55+0.55</f>
        <v>1.1000000000000001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0590.HK : 六福珠宝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0590.HK</v>
      </c>
      <c r="D3" s="278"/>
      <c r="E3" s="87"/>
      <c r="F3" s="3" t="s">
        <v>1</v>
      </c>
      <c r="G3" s="132">
        <v>14.46</v>
      </c>
      <c r="H3" s="134" t="s">
        <v>271</v>
      </c>
    </row>
    <row r="4" spans="1:10" ht="15.75" customHeight="1" x14ac:dyDescent="0.4">
      <c r="B4" s="35" t="s">
        <v>196</v>
      </c>
      <c r="C4" s="279" t="str">
        <f>Inputs!C5</f>
        <v>六福珠宝</v>
      </c>
      <c r="D4" s="280"/>
      <c r="E4" s="87"/>
      <c r="F4" s="3" t="s">
        <v>3</v>
      </c>
      <c r="G4" s="283">
        <f>Inputs!C10</f>
        <v>587107850</v>
      </c>
      <c r="H4" s="283"/>
      <c r="I4" s="39"/>
    </row>
    <row r="5" spans="1:10" ht="15.75" customHeight="1" x14ac:dyDescent="0.4">
      <c r="B5" s="3" t="s">
        <v>164</v>
      </c>
      <c r="C5" s="281">
        <f>Inputs!C6</f>
        <v>45593</v>
      </c>
      <c r="D5" s="282"/>
      <c r="E5" s="34"/>
      <c r="F5" s="35" t="s">
        <v>100</v>
      </c>
      <c r="G5" s="275">
        <f>G3*G4/1000000</f>
        <v>8489.5795110000017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45626</v>
      </c>
      <c r="E6" s="51">
        <f>IF(Fin_Analysis!E9="FY",Fin_Analysis!D9,Data!C3)</f>
        <v>45382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 xml:space="preserve">Superior Cycl. </v>
      </c>
      <c r="D7" s="187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4.2000000000000003E-2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5.2299999999999999E-2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257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1.8100000000000002E-2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HK</v>
      </c>
      <c r="F16" s="110" t="s">
        <v>179</v>
      </c>
    </row>
    <row r="17" spans="1:8" ht="15.75" customHeight="1" thickTop="1" x14ac:dyDescent="0.4">
      <c r="B17" s="87" t="s">
        <v>258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0.72762956087193742</v>
      </c>
      <c r="F20" s="87" t="s">
        <v>212</v>
      </c>
      <c r="G20" s="172">
        <v>0.15</v>
      </c>
    </row>
    <row r="21" spans="1:8" ht="15.75" customHeight="1" x14ac:dyDescent="0.4">
      <c r="B21" s="137" t="s">
        <v>247</v>
      </c>
      <c r="C21" s="171">
        <f>Fin_Analysis!I77</f>
        <v>0.16540000000000002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0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0.02</v>
      </c>
      <c r="F23" s="140" t="s">
        <v>189</v>
      </c>
      <c r="G23" s="177">
        <f>G3/(Data!C36*Data!C4/Common_Shares*Exchange_Rate)</f>
        <v>0.65995388886012629</v>
      </c>
    </row>
    <row r="24" spans="1:8" ht="15.75" customHeight="1" x14ac:dyDescent="0.4">
      <c r="B24" s="137" t="s">
        <v>171</v>
      </c>
      <c r="C24" s="171">
        <f>Fin_Analysis!I81</f>
        <v>3.8885650375487034E-3</v>
      </c>
      <c r="F24" s="140" t="s">
        <v>262</v>
      </c>
      <c r="G24" s="268">
        <f>G3/(Fin_Analysis!H86*G7)</f>
        <v>10.106190878375067</v>
      </c>
    </row>
    <row r="25" spans="1:8" ht="15.75" customHeight="1" x14ac:dyDescent="0.4">
      <c r="B25" s="137" t="s">
        <v>246</v>
      </c>
      <c r="C25" s="171">
        <f>Fin_Analysis!I82</f>
        <v>0.01</v>
      </c>
      <c r="F25" s="140" t="s">
        <v>175</v>
      </c>
      <c r="G25" s="171">
        <f>Fin_Analysis!I88</f>
        <v>0.76879736972424439</v>
      </c>
    </row>
    <row r="26" spans="1:8" ht="15.75" customHeight="1" x14ac:dyDescent="0.4">
      <c r="B26" s="138" t="s">
        <v>174</v>
      </c>
      <c r="C26" s="171">
        <f>Fin_Analysis!I83</f>
        <v>7.3081874090513851E-2</v>
      </c>
      <c r="F26" s="141" t="s">
        <v>194</v>
      </c>
      <c r="G26" s="178">
        <f>Fin_Analysis!H88*Exchange_Rate/G3</f>
        <v>7.6071922544951598E-2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261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14.975052899011292</v>
      </c>
      <c r="D29" s="129">
        <f>G29*(1+G20)</f>
        <v>33.110767301108886</v>
      </c>
      <c r="E29" s="87"/>
      <c r="F29" s="131">
        <f>IF(Fin_Analysis!C108="Profit",Fin_Analysis!F100,IF(Fin_Analysis!C108="Dividend",Fin_Analysis!F103,Fin_Analysis!F106))</f>
        <v>17.762291965859077</v>
      </c>
      <c r="G29" s="274">
        <f>IF(Fin_Analysis!C108="Profit",Fin_Analysis!I100,IF(Fin_Analysis!C108="Dividend",Fin_Analysis!I103,Fin_Analysis!I106))</f>
        <v>28.79197156618164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Strongly agree</v>
      </c>
    </row>
    <row r="34" spans="1:3" ht="15.75" customHeight="1" x14ac:dyDescent="0.4">
      <c r="A34"/>
      <c r="B34" s="19" t="s">
        <v>226</v>
      </c>
      <c r="C34" s="225" t="str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agree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unclear</v>
      </c>
    </row>
    <row r="37" spans="1:3" ht="15.75" customHeight="1" x14ac:dyDescent="0.4">
      <c r="A37"/>
      <c r="B37" s="20" t="s">
        <v>240</v>
      </c>
      <c r="C37" s="245" t="str">
        <f>Inputs!C19</f>
        <v>agree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agree</v>
      </c>
    </row>
    <row r="40" spans="1:3" ht="15.75" customHeight="1" x14ac:dyDescent="0.4">
      <c r="A40"/>
      <c r="B40" s="1" t="s">
        <v>232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45382</v>
      </c>
      <c r="E3" s="146" t="s">
        <v>201</v>
      </c>
      <c r="F3" s="85">
        <f>H14</f>
        <v>1602523</v>
      </c>
      <c r="G3" s="85">
        <f>C14</f>
        <v>1876773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202</v>
      </c>
      <c r="F4" s="93">
        <f>(G3/F3)^(1/H3)-1</f>
        <v>2.6678764368153862E-2</v>
      </c>
      <c r="J4" s="87"/>
    </row>
    <row r="5" spans="1:14" ht="15.75" customHeight="1" x14ac:dyDescent="0.4">
      <c r="A5" s="16"/>
      <c r="B5" s="115" t="s">
        <v>134</v>
      </c>
      <c r="C5" s="48">
        <f>C3</f>
        <v>45382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4" t="s">
        <v>12</v>
      </c>
      <c r="C6" s="200">
        <f>IF(Inputs!C25=""," ",Inputs!C25)</f>
        <v>15325962</v>
      </c>
      <c r="D6" s="200">
        <f>IF(Inputs!D25="","",Inputs!D25)</f>
        <v>11977844</v>
      </c>
      <c r="E6" s="200">
        <f>IF(Inputs!E25="","",Inputs!E25)</f>
        <v>11737803</v>
      </c>
      <c r="F6" s="200">
        <f>IF(Inputs!F25="","",Inputs!F25)</f>
        <v>8861335</v>
      </c>
      <c r="G6" s="200">
        <f>IF(Inputs!G25="","",Inputs!G25)</f>
        <v>11233771</v>
      </c>
      <c r="H6" s="200">
        <f>IF(Inputs!H25="","",Inputs!H25)</f>
        <v>15859990</v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0.27952593137796744</v>
      </c>
      <c r="D7" s="92">
        <f t="shared" si="1"/>
        <v>2.0450249505806095E-2</v>
      </c>
      <c r="E7" s="92">
        <f t="shared" si="1"/>
        <v>0.32460887665346139</v>
      </c>
      <c r="F7" s="92">
        <f t="shared" si="1"/>
        <v>-0.21118785490642455</v>
      </c>
      <c r="G7" s="92">
        <f t="shared" si="1"/>
        <v>-0.29169116752280422</v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11151623</v>
      </c>
      <c r="D8" s="199">
        <f>IF(Inputs!D26="","",Inputs!D26)</f>
        <v>8747447</v>
      </c>
      <c r="E8" s="199">
        <f>IF(Inputs!E26="","",Inputs!E26)</f>
        <v>8503976</v>
      </c>
      <c r="F8" s="199">
        <f>IF(Inputs!F26="","",Inputs!F26)</f>
        <v>6229020</v>
      </c>
      <c r="G8" s="199">
        <f>IF(Inputs!G26="","",Inputs!G26)</f>
        <v>7910751</v>
      </c>
      <c r="H8" s="199">
        <f>IF(Inputs!H26="","",Inputs!H26)</f>
        <v>11826154</v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4174339</v>
      </c>
      <c r="D9" s="151">
        <f t="shared" si="2"/>
        <v>3230397</v>
      </c>
      <c r="E9" s="151">
        <f t="shared" si="2"/>
        <v>3233827</v>
      </c>
      <c r="F9" s="151">
        <f t="shared" si="2"/>
        <v>2632315</v>
      </c>
      <c r="G9" s="151">
        <f t="shared" si="2"/>
        <v>3323020</v>
      </c>
      <c r="H9" s="151">
        <f t="shared" si="2"/>
        <v>4033836</v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2297566</v>
      </c>
      <c r="D10" s="199">
        <f>IF(Inputs!D27="","",Inputs!D27)</f>
        <v>1867515</v>
      </c>
      <c r="E10" s="199">
        <f>IF(Inputs!E27="","",Inputs!E27)</f>
        <v>1815111</v>
      </c>
      <c r="F10" s="199">
        <f>IF(Inputs!F27="","",Inputs!F27)</f>
        <v>1694480</v>
      </c>
      <c r="G10" s="199">
        <f>IF(Inputs!G27="","",Inputs!G27)</f>
        <v>2118252</v>
      </c>
      <c r="H10" s="199">
        <f>IF(Inputs!H27="","",Inputs!H27)</f>
        <v>2416769</v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>
        <f>IF(Inputs!C30="","",MAX(Inputs!C30,0)/(1-Fin_Analysis!$I$84))</f>
        <v>0</v>
      </c>
      <c r="D12" s="199">
        <f>IF(Inputs!D30="","",MAX(Inputs!D30,0)/(1-Fin_Analysis!$I$84))</f>
        <v>0</v>
      </c>
      <c r="E12" s="199">
        <f>IF(Inputs!E30="","",MAX(Inputs!E30,0)/(1-Fin_Analysis!$I$84))</f>
        <v>0</v>
      </c>
      <c r="F12" s="199">
        <f>IF(Inputs!F30="","",MAX(Inputs!F30,0)/(1-Fin_Analysis!$I$84))</f>
        <v>2398.6666666666665</v>
      </c>
      <c r="G12" s="199">
        <f>IF(Inputs!G30="","",MAX(Inputs!G30,0)/(1-Fin_Analysis!$I$84))</f>
        <v>1782.6666666666667</v>
      </c>
      <c r="H12" s="199">
        <f>IF(Inputs!H30="","",MAX(Inputs!H30,0)/(1-Fin_Analysis!$I$84))</f>
        <v>14544</v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0.12245710905455723</v>
      </c>
      <c r="D13" s="229">
        <f t="shared" si="3"/>
        <v>0.11378358242100998</v>
      </c>
      <c r="E13" s="229">
        <f t="shared" si="3"/>
        <v>0.12086725258551366</v>
      </c>
      <c r="F13" s="229">
        <f t="shared" si="3"/>
        <v>0.10556381553494291</v>
      </c>
      <c r="G13" s="229">
        <f t="shared" si="3"/>
        <v>0.10708651024961549</v>
      </c>
      <c r="H13" s="229">
        <f t="shared" si="3"/>
        <v>0.10104186698730579</v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1876773</v>
      </c>
      <c r="D14" s="230">
        <f t="shared" ref="D14:M14" si="4">IF(D6="","",D9-D10-MAX(D11,0)-MAX(D12,0))</f>
        <v>1362882</v>
      </c>
      <c r="E14" s="230">
        <f t="shared" si="4"/>
        <v>1418716</v>
      </c>
      <c r="F14" s="230">
        <f t="shared" si="4"/>
        <v>935436.33333333337</v>
      </c>
      <c r="G14" s="230">
        <f t="shared" si="4"/>
        <v>1202985.3333333333</v>
      </c>
      <c r="H14" s="230">
        <f t="shared" si="4"/>
        <v>1602523</v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>
        <f>IF(D14="","",IF(ABS(C14+D14)=ABS(C14)+ABS(D14),IF(C14&lt;0,-1,1)*(C14-D14)/D14,"Turn"))</f>
        <v>0.37706199069325153</v>
      </c>
      <c r="D15" s="232">
        <f t="shared" ref="D15:M15" si="5">IF(E14="","",IF(ABS(D14+E14)=ABS(D14)+ABS(E14),IF(D14&lt;0,-1,1)*(D14-E14)/E14,"Turn"))</f>
        <v>-3.9355304373814071E-2</v>
      </c>
      <c r="E15" s="232">
        <f t="shared" si="5"/>
        <v>0.51663555225030455</v>
      </c>
      <c r="F15" s="232">
        <f t="shared" si="5"/>
        <v>-0.22240420775426459</v>
      </c>
      <c r="G15" s="232">
        <f t="shared" si="5"/>
        <v>-0.24931789850546091</v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>
        <f>IF(Inputs!C31="","",Inputs!C31)</f>
        <v>626583</v>
      </c>
      <c r="D16" s="199">
        <f>IF(Inputs!D31="","",Inputs!D31)</f>
        <v>352099</v>
      </c>
      <c r="E16" s="199">
        <f>IF(Inputs!E31="","",Inputs!E31)</f>
        <v>1045251</v>
      </c>
      <c r="F16" s="199">
        <f>IF(Inputs!F31="","",Inputs!F31)</f>
        <v>-818677</v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260</v>
      </c>
      <c r="C17" s="199">
        <f>IF(Inputs!C29="","",Inputs!C29)</f>
        <v>59596</v>
      </c>
      <c r="D17" s="199">
        <f>IF(Inputs!D29="","",Inputs!D29)</f>
        <v>20763</v>
      </c>
      <c r="E17" s="199">
        <f>IF(Inputs!E29="","",Inputs!E29)</f>
        <v>23097</v>
      </c>
      <c r="F17" s="199">
        <f>IF(Inputs!F29="","",Inputs!F29)</f>
        <v>28849</v>
      </c>
      <c r="G17" s="199">
        <f>IF(Inputs!G29="","",Inputs!G29)</f>
        <v>63075</v>
      </c>
      <c r="H17" s="199">
        <f>IF(Inputs!H29="","",Inputs!H29)</f>
        <v>34253</v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>
        <f t="shared" ref="C18:M18" si="6">IF(OR(C6="",C19=""),"",C19/C6)</f>
        <v>2.9789581887257714E-2</v>
      </c>
      <c r="D18" s="152">
        <f t="shared" si="6"/>
        <v>3.1156775793707115E-2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>
        <f>IF(Inputs!C32="","",Inputs!C32)</f>
        <v>456554</v>
      </c>
      <c r="D19" s="199">
        <f>IF(Inputs!D32="","",Inputs!D32)</f>
        <v>373191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4.413341231043115E-2</v>
      </c>
      <c r="D20" s="152">
        <f t="shared" si="7"/>
        <v>8.9565367523571013E-3</v>
      </c>
      <c r="E20" s="152">
        <f t="shared" si="7"/>
        <v>3.8804791663312119E-2</v>
      </c>
      <c r="F20" s="152">
        <f t="shared" si="7"/>
        <v>1.5679014505150749E-2</v>
      </c>
      <c r="G20" s="152">
        <f t="shared" si="7"/>
        <v>0</v>
      </c>
      <c r="H20" s="152">
        <f t="shared" si="7"/>
        <v>0</v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>
        <f>IF(Inputs!C33="","",Inputs!C33)</f>
        <v>676387</v>
      </c>
      <c r="D21" s="199">
        <f>IF(Inputs!D33="","",Inputs!D33)</f>
        <v>107280</v>
      </c>
      <c r="E21" s="199">
        <f>IF(Inputs!E33="","",Inputs!E33)</f>
        <v>455483</v>
      </c>
      <c r="F21" s="199">
        <f>IF(Inputs!F33="","",Inputs!F33)</f>
        <v>138937</v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970761</v>
      </c>
      <c r="D22" s="161">
        <f t="shared" ref="D22:M22" si="8">IF(D6="","",D14-MAX(D16,0)-MAX(D17,0)-ABS(MAX(D21,0)-MAX(D19,0)))</f>
        <v>724109</v>
      </c>
      <c r="E22" s="161">
        <f t="shared" si="8"/>
        <v>-105115</v>
      </c>
      <c r="F22" s="161">
        <f t="shared" si="8"/>
        <v>767650.33333333337</v>
      </c>
      <c r="G22" s="161">
        <f t="shared" si="8"/>
        <v>1139910.3333333333</v>
      </c>
      <c r="H22" s="161">
        <f t="shared" si="8"/>
        <v>1568270</v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4.7505712855088637E-2</v>
      </c>
      <c r="D23" s="153">
        <f t="shared" si="9"/>
        <v>4.5340526224919943E-2</v>
      </c>
      <c r="E23" s="153">
        <f t="shared" si="9"/>
        <v>-6.7164400356693665E-3</v>
      </c>
      <c r="F23" s="153">
        <f t="shared" si="9"/>
        <v>6.4971897575252485E-2</v>
      </c>
      <c r="G23" s="153">
        <f t="shared" si="9"/>
        <v>7.6103807884280353E-2</v>
      </c>
      <c r="H23" s="153">
        <f t="shared" si="9"/>
        <v>7.4161616747551548E-2</v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728070.75</v>
      </c>
      <c r="D24" s="77">
        <f>IF(D6="","",D22*(1-Fin_Analysis!$I$84))</f>
        <v>543081.75</v>
      </c>
      <c r="E24" s="77">
        <f>IF(E6="","",E22*(1-Fin_Analysis!$I$84))</f>
        <v>-78836.25</v>
      </c>
      <c r="F24" s="77">
        <f>IF(F6="","",F22*(1-Fin_Analysis!$I$84))</f>
        <v>575737.75</v>
      </c>
      <c r="G24" s="77">
        <f>IF(G6="","",G22*(1-Fin_Analysis!$I$84))</f>
        <v>854932.75</v>
      </c>
      <c r="H24" s="77">
        <f>IF(H6="","",H22*(1-Fin_Analysis!$I$84))</f>
        <v>1176202.5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>
        <f>IF(D24="","",IF(ABS(C24+D24)=ABS(C24)+ABS(D24),IF(C24&lt;0,-1,1)*(C24-D24)/D24,"Turn"))</f>
        <v>0.34062827557729569</v>
      </c>
      <c r="D25" s="233" t="str">
        <f t="shared" ref="D25:M25" si="10">IF(E24="","",IF(ABS(D24+E24)=ABS(D24)+ABS(E24),IF(D24&lt;0,-1,1)*(D24-E24)/E24,"Turn"))</f>
        <v>Turn</v>
      </c>
      <c r="E25" s="233" t="str">
        <f t="shared" si="10"/>
        <v>Turn</v>
      </c>
      <c r="F25" s="233">
        <f t="shared" si="10"/>
        <v>-0.32656954596721205</v>
      </c>
      <c r="G25" s="233">
        <f t="shared" si="10"/>
        <v>-0.27314152962606353</v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45382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16854064</v>
      </c>
      <c r="D27" s="65">
        <f t="shared" ref="D27:M27" si="20">IF(D36="","",D36+D31+D32)</f>
        <v>14928506</v>
      </c>
      <c r="E27" s="65">
        <f t="shared" si="20"/>
        <v>16220269</v>
      </c>
      <c r="F27" s="65">
        <f t="shared" si="20"/>
        <v>14512039</v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12332308</v>
      </c>
      <c r="D28" s="199">
        <f>IF(Inputs!D34="","",Inputs!D34)</f>
        <v>11972903</v>
      </c>
      <c r="E28" s="199">
        <f>IF(Inputs!E34="","",Inputs!E34)</f>
        <v>13002006</v>
      </c>
      <c r="F28" s="199">
        <f>IF(Inputs!F34="","",Inputs!F34)</f>
        <v>11732726</v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265773</v>
      </c>
      <c r="D29" s="199">
        <f>IF(Inputs!D35="","",Inputs!D35)</f>
        <v>213823</v>
      </c>
      <c r="E29" s="199">
        <f>IF(Inputs!E35="","",Inputs!E35)</f>
        <v>187711</v>
      </c>
      <c r="F29" s="199">
        <f>IF(Inputs!F35="","",Inputs!F35)</f>
        <v>277338</v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9672256</v>
      </c>
      <c r="D30" s="199">
        <f>IF(Inputs!D36="","",Inputs!D36)</f>
        <v>8852611</v>
      </c>
      <c r="E30" s="199">
        <f>IF(Inputs!E36="","",Inputs!E36)</f>
        <v>8769304</v>
      </c>
      <c r="F30" s="199">
        <f>IF(Inputs!F36="","",Inputs!F36)</f>
        <v>7321614</v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3516809</v>
      </c>
      <c r="D31" s="199">
        <f>IF(Inputs!D37="","",Inputs!D37)</f>
        <v>2466431</v>
      </c>
      <c r="E31" s="199">
        <f>IF(Inputs!E37="","",Inputs!E37)</f>
        <v>3908586</v>
      </c>
      <c r="F31" s="199">
        <f>IF(Inputs!F37="","",Inputs!F37)</f>
        <v>2946772</v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473357</v>
      </c>
      <c r="D32" s="199">
        <f>IF(Inputs!D38="","",Inputs!D38)</f>
        <v>241133</v>
      </c>
      <c r="E32" s="199">
        <f>IF(Inputs!E38="","",Inputs!E38)</f>
        <v>233155</v>
      </c>
      <c r="F32" s="199">
        <f>IF(Inputs!F38="","",Inputs!F38)</f>
        <v>241043</v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1715502</v>
      </c>
      <c r="D33" s="199">
        <f>IF(Inputs!D39="","",Inputs!D39)</f>
        <v>1035175</v>
      </c>
      <c r="E33" s="199">
        <f>IF(Inputs!E39="","",Inputs!E39)</f>
        <v>1587989</v>
      </c>
      <c r="F33" s="199">
        <f>IF(Inputs!F39="","",Inputs!F39)</f>
        <v>1050082</v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319420</v>
      </c>
      <c r="D34" s="199">
        <f>IF(Inputs!D40="","",Inputs!D40)</f>
        <v>67759</v>
      </c>
      <c r="E34" s="199">
        <f>IF(Inputs!E40="","",Inputs!E40)</f>
        <v>153013</v>
      </c>
      <c r="F34" s="199">
        <f>IF(Inputs!F40="","",Inputs!F40)</f>
        <v>81854</v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2034922</v>
      </c>
      <c r="D35" s="77">
        <f t="shared" ref="D35" si="22">IF(OR(D33="",D34=""),"",D33+D34)</f>
        <v>1102934</v>
      </c>
      <c r="E35" s="77">
        <f t="shared" ref="E35" si="23">IF(OR(E33="",E34=""),"",E33+E34)</f>
        <v>1741002</v>
      </c>
      <c r="F35" s="77">
        <f t="shared" ref="F35" si="24">IF(OR(F33="",F34=""),"",F33+F34)</f>
        <v>1131936</v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12863898</v>
      </c>
      <c r="D36" s="199">
        <f>IF(Inputs!D41="","",Inputs!D41)</f>
        <v>12220942</v>
      </c>
      <c r="E36" s="199">
        <f>IF(Inputs!E41="","",Inputs!E41)</f>
        <v>12078528</v>
      </c>
      <c r="F36" s="199">
        <f>IF(Inputs!F41="","",Inputs!F41)</f>
        <v>11324224</v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-26962</v>
      </c>
      <c r="D37" s="199">
        <f>IF(Inputs!D42="","",Inputs!D42)</f>
        <v>-498</v>
      </c>
      <c r="E37" s="199">
        <f>IF(Inputs!E42="","",Inputs!E42)</f>
        <v>468</v>
      </c>
      <c r="F37" s="199">
        <f>IF(Inputs!F42="","",Inputs!F42)</f>
        <v>411</v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2923945</v>
      </c>
      <c r="D38" s="199">
        <f>IF(Inputs!D43="","",Inputs!D43)</f>
        <v>3475378</v>
      </c>
      <c r="E38" s="199">
        <f>IF(Inputs!E43="","",Inputs!E43)</f>
        <v>4499643</v>
      </c>
      <c r="F38" s="199">
        <f>IF(Inputs!F43="","",Inputs!F43)</f>
        <v>4455433</v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13930119</v>
      </c>
      <c r="D39" s="65">
        <f>IF(D38="","",D27-D38)</f>
        <v>11453128</v>
      </c>
      <c r="E39" s="65">
        <f t="shared" ref="E39:M39" si="32">IF(E38="","",E27-E38)</f>
        <v>11720626</v>
      </c>
      <c r="F39" s="65">
        <f t="shared" si="32"/>
        <v>10056606</v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>
        <f>IF(C6="","",C14/MAX(C39,0))</f>
        <v>0.13472770763839131</v>
      </c>
      <c r="D40" s="155">
        <f>IF(D6="","",D14/MAX(D39,0))</f>
        <v>0.11899648724785054</v>
      </c>
      <c r="E40" s="155">
        <f>IF(E6="","",E14/MAX(E39,0))</f>
        <v>0.12104438790214789</v>
      </c>
      <c r="F40" s="155">
        <f t="shared" ref="F40:M40" si="33">IF(F39="","",F14/F39)</f>
        <v>9.3017100732924546E-2</v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255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0.72762956087193742</v>
      </c>
      <c r="D42" s="156">
        <f t="shared" si="34"/>
        <v>0.7303022981431383</v>
      </c>
      <c r="E42" s="156">
        <f t="shared" si="34"/>
        <v>0.7244946946204498</v>
      </c>
      <c r="F42" s="156">
        <f t="shared" si="34"/>
        <v>0.70294374380383995</v>
      </c>
      <c r="G42" s="156">
        <f t="shared" si="34"/>
        <v>0.70419372087965826</v>
      </c>
      <c r="H42" s="156">
        <f t="shared" si="34"/>
        <v>0.74565961264792724</v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0.14991333007350532</v>
      </c>
      <c r="D43" s="153">
        <f t="shared" si="35"/>
        <v>0.15591411943585173</v>
      </c>
      <c r="E43" s="153">
        <f t="shared" si="35"/>
        <v>0.1546380527940365</v>
      </c>
      <c r="F43" s="153">
        <f t="shared" si="35"/>
        <v>0.19122175157580659</v>
      </c>
      <c r="G43" s="153">
        <f t="shared" si="35"/>
        <v>0.18856108069142588</v>
      </c>
      <c r="H43" s="153">
        <f t="shared" si="35"/>
        <v>0.15238149582692045</v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4.0883763120383568E-2</v>
      </c>
      <c r="D44" s="153">
        <f t="shared" si="36"/>
        <v>2.9395857885609465E-2</v>
      </c>
      <c r="E44" s="153">
        <f t="shared" si="36"/>
        <v>8.9049969572670459E-2</v>
      </c>
      <c r="F44" s="153">
        <f t="shared" si="36"/>
        <v>0</v>
      </c>
      <c r="G44" s="153">
        <f t="shared" si="36"/>
        <v>0</v>
      </c>
      <c r="H44" s="153">
        <f t="shared" si="36"/>
        <v>0</v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3.8885650375487034E-3</v>
      </c>
      <c r="D45" s="153">
        <f t="shared" si="37"/>
        <v>1.7334505274905901E-3</v>
      </c>
      <c r="E45" s="153">
        <f t="shared" si="37"/>
        <v>1.9677447304235723E-3</v>
      </c>
      <c r="F45" s="153">
        <f t="shared" si="37"/>
        <v>3.2556042627888463E-3</v>
      </c>
      <c r="G45" s="153">
        <f t="shared" si="37"/>
        <v>5.6147664039083583E-3</v>
      </c>
      <c r="H45" s="153">
        <f t="shared" si="37"/>
        <v>2.1597113239037349E-3</v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0</v>
      </c>
      <c r="D46" s="153">
        <f t="shared" ref="D46:M46" si="38">IF(D6="","",MAX(D12,0)/D6)</f>
        <v>0</v>
      </c>
      <c r="E46" s="153">
        <f t="shared" si="38"/>
        <v>0</v>
      </c>
      <c r="F46" s="153">
        <f t="shared" si="38"/>
        <v>2.7068908541056925E-4</v>
      </c>
      <c r="G46" s="153">
        <f t="shared" si="38"/>
        <v>1.5868817930031392E-4</v>
      </c>
      <c r="H46" s="153">
        <f t="shared" si="38"/>
        <v>9.1702453784649294E-4</v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1.4343830423173436E-2</v>
      </c>
      <c r="D47" s="153">
        <f t="shared" ref="D47:M47" si="39">IF(D6="","",ABS(MAX(D21,0)-MAX(D19,0))/D6)</f>
        <v>2.2200239041350014E-2</v>
      </c>
      <c r="E47" s="153">
        <f t="shared" si="39"/>
        <v>3.8804791663312119E-2</v>
      </c>
      <c r="F47" s="153">
        <f t="shared" si="39"/>
        <v>1.5679014505150749E-2</v>
      </c>
      <c r="G47" s="153">
        <f t="shared" si="39"/>
        <v>0</v>
      </c>
      <c r="H47" s="153">
        <f t="shared" si="39"/>
        <v>0</v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6.3340950473451521E-2</v>
      </c>
      <c r="D48" s="153">
        <f t="shared" si="40"/>
        <v>6.0454034966559926E-2</v>
      </c>
      <c r="E48" s="153">
        <f t="shared" si="40"/>
        <v>-8.9552533808924892E-3</v>
      </c>
      <c r="F48" s="153">
        <f t="shared" si="40"/>
        <v>8.6629196767003327E-2</v>
      </c>
      <c r="G48" s="153">
        <f t="shared" si="40"/>
        <v>0.10147174384570713</v>
      </c>
      <c r="H48" s="153">
        <f t="shared" si="40"/>
        <v>9.8882155663402055E-2</v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1.7341358408692387E-2</v>
      </c>
      <c r="D50" s="156">
        <f t="shared" si="41"/>
        <v>1.7851543232655226E-2</v>
      </c>
      <c r="E50" s="156">
        <f t="shared" si="41"/>
        <v>1.5992004636642819E-2</v>
      </c>
      <c r="F50" s="156">
        <f t="shared" si="41"/>
        <v>3.1297541510393184E-2</v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0.63110270011109249</v>
      </c>
      <c r="D51" s="153">
        <f t="shared" si="42"/>
        <v>0.73908217538982812</v>
      </c>
      <c r="E51" s="153">
        <f t="shared" si="42"/>
        <v>0.74709926550990846</v>
      </c>
      <c r="F51" s="153">
        <f t="shared" si="42"/>
        <v>0.82624277267477186</v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265</v>
      </c>
      <c r="C52" s="153">
        <f>IF(D6="","",C16/(C6-D6))</f>
        <v>0.18714483778648183</v>
      </c>
      <c r="D52" s="153">
        <f t="shared" ref="D52:M52" si="43">IF(E6="","",D16/(D6-E6))</f>
        <v>1.4668285834503272</v>
      </c>
      <c r="E52" s="153">
        <f t="shared" si="43"/>
        <v>0.3633800202192411</v>
      </c>
      <c r="F52" s="153">
        <f t="shared" si="43"/>
        <v>0.34507864490338203</v>
      </c>
      <c r="G52" s="153" t="e">
        <f t="shared" si="43"/>
        <v>#VALUE!</v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125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20</v>
      </c>
      <c r="C54" s="156">
        <f>IF(C36="","",(C27-C36)/C27)</f>
        <v>0.23674800333023538</v>
      </c>
      <c r="D54" s="156">
        <f t="shared" ref="D54:M54" si="44">IF(D36="","",(D27-D36)/D27)</f>
        <v>0.1813687183432823</v>
      </c>
      <c r="E54" s="156">
        <f t="shared" si="44"/>
        <v>0.2553435457821322</v>
      </c>
      <c r="F54" s="156">
        <f t="shared" si="44"/>
        <v>0.21966692619831024</v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121</v>
      </c>
      <c r="C55" s="157">
        <f t="shared" ref="C55:M55" si="45">IF(OR(C22="",C35=""),"",IF(C35&lt;=0,"-",C22/C35))</f>
        <v>0.4770507174230757</v>
      </c>
      <c r="D55" s="157">
        <f t="shared" si="45"/>
        <v>0.6565297651536719</v>
      </c>
      <c r="E55" s="157">
        <f t="shared" si="45"/>
        <v>-6.0376151204880865E-2</v>
      </c>
      <c r="F55" s="157">
        <f t="shared" si="45"/>
        <v>0.67817467889821803</v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123</v>
      </c>
      <c r="C56" s="153">
        <f t="shared" ref="C56:M56" si="46">IF(C22="","",IF(MAX(C17,0)&lt;=0,"-",C17/C22))</f>
        <v>6.1391011793840093E-2</v>
      </c>
      <c r="D56" s="153">
        <f t="shared" si="46"/>
        <v>2.8673859874687374E-2</v>
      </c>
      <c r="E56" s="153">
        <f t="shared" si="46"/>
        <v>-0.21973077106026734</v>
      </c>
      <c r="F56" s="153">
        <f t="shared" si="46"/>
        <v>3.7580912490105083E-2</v>
      </c>
      <c r="G56" s="153">
        <f t="shared" si="46"/>
        <v>5.5333299607483753E-2</v>
      </c>
      <c r="H56" s="153">
        <f t="shared" si="46"/>
        <v>2.1841264578165751E-2</v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21</v>
      </c>
      <c r="C57" s="158">
        <f t="shared" ref="C57:M57" si="47">IF(C28="","",C28/C31)</f>
        <v>3.5066755118062995</v>
      </c>
      <c r="D57" s="158">
        <f t="shared" si="47"/>
        <v>4.8543433811852026</v>
      </c>
      <c r="E57" s="158">
        <f t="shared" si="47"/>
        <v>3.3265242212912804</v>
      </c>
      <c r="F57" s="158">
        <f t="shared" si="47"/>
        <v>3.9815520169188523</v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12863898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12890860</v>
      </c>
      <c r="K3" s="24"/>
    </row>
    <row r="4" spans="1:11" ht="15" customHeight="1" x14ac:dyDescent="0.4">
      <c r="B4" s="3" t="s">
        <v>25</v>
      </c>
      <c r="C4" s="87"/>
      <c r="D4" s="65">
        <f>D3-I3</f>
        <v>-26962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3.5066755118062995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3511699.0500000007</v>
      </c>
      <c r="E6" s="56">
        <f>1-D6/D3</f>
        <v>0.72701127994018599</v>
      </c>
      <c r="F6" s="87"/>
      <c r="G6" s="87"/>
      <c r="H6" s="1" t="s">
        <v>30</v>
      </c>
      <c r="I6" s="63">
        <f>(C24+C25)/I28</f>
        <v>0.74800394334750619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5.9813525743183318</v>
      </c>
      <c r="E7" s="11" t="str">
        <f>Dashboard!H3</f>
        <v>HKD</v>
      </c>
      <c r="H7" s="1" t="s">
        <v>31</v>
      </c>
      <c r="I7" s="63">
        <f>C24/I28</f>
        <v>0.64376313868623514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45382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1998219</v>
      </c>
      <c r="D11" s="198">
        <f>Inputs!D48</f>
        <v>0.9</v>
      </c>
      <c r="E11" s="88">
        <f t="shared" ref="E11:E22" si="0">C11*D11</f>
        <v>1798397.1</v>
      </c>
      <c r="F11" s="112"/>
      <c r="G11" s="87"/>
      <c r="H11" s="3" t="s">
        <v>39</v>
      </c>
      <c r="I11" s="40">
        <f>Inputs!C73</f>
        <v>1427805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287697</v>
      </c>
      <c r="J12" s="87"/>
      <c r="K12" s="24"/>
    </row>
    <row r="13" spans="1:11" ht="13.9" x14ac:dyDescent="0.4">
      <c r="B13" s="3" t="s">
        <v>117</v>
      </c>
      <c r="C13" s="40">
        <f>Inputs!C50</f>
        <v>265773</v>
      </c>
      <c r="D13" s="198">
        <f>Inputs!D50</f>
        <v>0.6</v>
      </c>
      <c r="E13" s="88">
        <f t="shared" si="0"/>
        <v>159463.79999999999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1715502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366595</v>
      </c>
      <c r="D17" s="198">
        <f>Inputs!D54</f>
        <v>0.1</v>
      </c>
      <c r="E17" s="88">
        <f t="shared" si="0"/>
        <v>36659.5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9672256</v>
      </c>
      <c r="D18" s="198">
        <f>Inputs!D55</f>
        <v>0.5</v>
      </c>
      <c r="E18" s="88">
        <f t="shared" si="0"/>
        <v>4836128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29465</v>
      </c>
      <c r="D21" s="198">
        <f>Inputs!D58</f>
        <v>0.9</v>
      </c>
      <c r="E21" s="88">
        <f t="shared" si="0"/>
        <v>26518.5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1801307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2263992</v>
      </c>
      <c r="D24" s="62">
        <f>IF(E24=0,0,E24/C24)</f>
        <v>0.86478260523888784</v>
      </c>
      <c r="E24" s="88">
        <f>SUM(E11:E14)</f>
        <v>1957860.9000000001</v>
      </c>
      <c r="F24" s="113">
        <f>E24/$E$28</f>
        <v>0.28552038014416714</v>
      </c>
      <c r="G24" s="87"/>
    </row>
    <row r="25" spans="2:10" ht="15" customHeight="1" x14ac:dyDescent="0.4">
      <c r="B25" s="23" t="s">
        <v>55</v>
      </c>
      <c r="C25" s="61">
        <f>SUM(C15:C17)</f>
        <v>366595</v>
      </c>
      <c r="D25" s="62">
        <f>IF(E25=0,0,E25/C25)</f>
        <v>0.1</v>
      </c>
      <c r="E25" s="88">
        <f>SUM(E15:E17)</f>
        <v>36659.5</v>
      </c>
      <c r="F25" s="113">
        <f>E25/$E$28</f>
        <v>5.3461583383656594E-3</v>
      </c>
      <c r="G25" s="87"/>
      <c r="H25" s="23" t="s">
        <v>56</v>
      </c>
      <c r="I25" s="63">
        <f>E28/I28</f>
        <v>1.9498263624780305</v>
      </c>
    </row>
    <row r="26" spans="2:10" ht="15" customHeight="1" x14ac:dyDescent="0.4">
      <c r="B26" s="23" t="s">
        <v>57</v>
      </c>
      <c r="C26" s="61">
        <f>C18+C19+C20</f>
        <v>9672256</v>
      </c>
      <c r="D26" s="62">
        <f>IF(E26=0,0,E26/C26)</f>
        <v>0.5</v>
      </c>
      <c r="E26" s="88">
        <f>E18+E19+E20</f>
        <v>4836128</v>
      </c>
      <c r="F26" s="113">
        <f>E26/$E$28</f>
        <v>0.70526619382707456</v>
      </c>
      <c r="G26" s="87"/>
      <c r="H26" s="23" t="s">
        <v>58</v>
      </c>
      <c r="I26" s="63">
        <f>E24/($I$28-I22)</f>
        <v>1.1412757898271177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29465</v>
      </c>
      <c r="D27" s="62">
        <f>IF(E27=0,0,E27/C27)</f>
        <v>0.9</v>
      </c>
      <c r="E27" s="88">
        <f>E21+E22</f>
        <v>26518.5</v>
      </c>
      <c r="F27" s="113">
        <f>E27/$E$28</f>
        <v>3.8672676903926603E-3</v>
      </c>
      <c r="G27" s="87"/>
      <c r="H27" s="23" t="s">
        <v>60</v>
      </c>
      <c r="I27" s="63">
        <f>(E25+E24)/$I$28</f>
        <v>0.56713924469597299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15</v>
      </c>
      <c r="C28" s="79">
        <f>SUM(C11:C22)</f>
        <v>12332308</v>
      </c>
      <c r="D28" s="57">
        <f>E28/C28</f>
        <v>0.55603273126165842</v>
      </c>
      <c r="E28" s="70">
        <f>SUM(E24:E27)</f>
        <v>6857166.9000000004</v>
      </c>
      <c r="F28" s="112"/>
      <c r="G28" s="87"/>
      <c r="H28" s="78" t="s">
        <v>16</v>
      </c>
      <c r="I28" s="206">
        <f>Inputs!C77</f>
        <v>3516809</v>
      </c>
      <c r="J28" s="32">
        <f>IF(J26="",1,0)+IF(J27="",1,0)+IF(J46="",1,0)+IF(J47="",1,0)</f>
        <v>2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319420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103050</v>
      </c>
      <c r="D34" s="198">
        <f>Inputs!D64</f>
        <v>0.4</v>
      </c>
      <c r="E34" s="88">
        <f t="shared" si="1"/>
        <v>41220</v>
      </c>
      <c r="F34" s="112"/>
      <c r="G34" s="87"/>
      <c r="H34" s="1" t="s">
        <v>78</v>
      </c>
      <c r="I34" s="84">
        <f>SUM(I30:I33)</f>
        <v>319420</v>
      </c>
      <c r="J34" s="87"/>
    </row>
    <row r="35" spans="2:10" ht="13.9" x14ac:dyDescent="0.4">
      <c r="B35" s="3" t="s">
        <v>70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925726</v>
      </c>
      <c r="D36" s="198">
        <f>Inputs!D66</f>
        <v>0.2</v>
      </c>
      <c r="E36" s="88">
        <f t="shared" si="1"/>
        <v>185145.2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2522337</v>
      </c>
      <c r="D38" s="198">
        <f>Inputs!D68</f>
        <v>0.1</v>
      </c>
      <c r="E38" s="88">
        <f t="shared" si="1"/>
        <v>252233.7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538321</v>
      </c>
      <c r="D40" s="198">
        <f>Inputs!D70</f>
        <v>0.05</v>
      </c>
      <c r="E40" s="88">
        <f t="shared" si="1"/>
        <v>26916.050000000003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154648</v>
      </c>
      <c r="D41" s="198">
        <f>Inputs!D71</f>
        <v>0.9</v>
      </c>
      <c r="E41" s="88">
        <f t="shared" si="1"/>
        <v>139183.20000000001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277674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153937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103050</v>
      </c>
      <c r="D45" s="62">
        <f>IF(E45=0,0,E45/C45)</f>
        <v>0.4</v>
      </c>
      <c r="E45" s="88">
        <f>SUM(E32:E35)</f>
        <v>41220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3448063</v>
      </c>
      <c r="D46" s="62">
        <f>IF(E46=0,0,E46/C46)</f>
        <v>0.12684771130921912</v>
      </c>
      <c r="E46" s="88">
        <f>E36+E37+E38+E39</f>
        <v>437378.9</v>
      </c>
      <c r="F46" s="87"/>
      <c r="G46" s="87"/>
      <c r="H46" s="23" t="s">
        <v>81</v>
      </c>
      <c r="I46" s="63">
        <f>(E44+E24)/E64</f>
        <v>0.96213068609017949</v>
      </c>
      <c r="J46" s="8" t="str">
        <f>IF(I46&lt;1,"Liquidity Problem!","")</f>
        <v>Liquidity Problem!</v>
      </c>
    </row>
    <row r="47" spans="2:10" ht="15" customHeight="1" x14ac:dyDescent="0.4">
      <c r="B47" s="23" t="s">
        <v>82</v>
      </c>
      <c r="C47" s="61">
        <f>C40+C41+C42</f>
        <v>970643</v>
      </c>
      <c r="D47" s="62">
        <f>IF(E47=0,0,E47/C47)</f>
        <v>0.17112290512577744</v>
      </c>
      <c r="E47" s="88">
        <f>E40+E41+E42</f>
        <v>166099.25</v>
      </c>
      <c r="F47" s="87"/>
      <c r="G47" s="87"/>
      <c r="H47" s="23" t="s">
        <v>83</v>
      </c>
      <c r="I47" s="63">
        <f>(E44+E45+E24+E25)/$I$49</f>
        <v>0.51018940064147711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4521756</v>
      </c>
      <c r="D48" s="82">
        <f>E48/C48</f>
        <v>0.1425769435590952</v>
      </c>
      <c r="E48" s="76">
        <f>SUM(E30:E42)</f>
        <v>644698.15</v>
      </c>
      <c r="F48" s="87"/>
      <c r="G48" s="87"/>
      <c r="H48" s="80" t="s">
        <v>85</v>
      </c>
      <c r="I48" s="207">
        <f>Inputs!C82</f>
        <v>473357</v>
      </c>
      <c r="J48" s="8"/>
    </row>
    <row r="49" spans="2:11" ht="15" customHeight="1" thickTop="1" x14ac:dyDescent="0.4">
      <c r="B49" s="3" t="s">
        <v>14</v>
      </c>
      <c r="C49" s="61">
        <f>C28+C48</f>
        <v>16854064</v>
      </c>
      <c r="D49" s="56">
        <f>E49/C49</f>
        <v>0.44510718898421181</v>
      </c>
      <c r="E49" s="88">
        <f>E28+E48</f>
        <v>7501865.0500000007</v>
      </c>
      <c r="F49" s="87"/>
      <c r="G49" s="87"/>
      <c r="H49" s="3" t="s">
        <v>86</v>
      </c>
      <c r="I49" s="52">
        <f>I28+I48</f>
        <v>3990166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2034922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925726</v>
      </c>
      <c r="D61" s="56">
        <f t="shared" ref="D61:D70" si="2">IF(E61=0,0,E61/C61)</f>
        <v>0.2</v>
      </c>
      <c r="E61" s="52">
        <f>E14+E15+(E19*G19)+(E20*G20)+E31+E32+(E35*G35)+(E36*G36)+(E37*G37)</f>
        <v>185145.2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1998219</v>
      </c>
      <c r="D62" s="107">
        <f t="shared" si="2"/>
        <v>0.9</v>
      </c>
      <c r="E62" s="118">
        <f>E11+E30</f>
        <v>1798397.1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2923945</v>
      </c>
      <c r="D63" s="29">
        <f t="shared" si="2"/>
        <v>0.67837879987482663</v>
      </c>
      <c r="E63" s="61">
        <f>E61+E62</f>
        <v>1983542.3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2034922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889023</v>
      </c>
      <c r="D65" s="29">
        <f t="shared" si="2"/>
        <v>-5.7793442914300254E-2</v>
      </c>
      <c r="E65" s="61">
        <f>E63-E64</f>
        <v>-51379.699999999953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13930119</v>
      </c>
      <c r="D68" s="29">
        <f t="shared" si="2"/>
        <v>0.39614325979555531</v>
      </c>
      <c r="E68" s="68">
        <f>E49-E63</f>
        <v>5518322.7500000009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1955244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11974875</v>
      </c>
      <c r="D70" s="29">
        <f t="shared" si="2"/>
        <v>0.29754621655758418</v>
      </c>
      <c r="E70" s="68">
        <f>E68-E69</f>
        <v>3563078.7500000009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45382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15325962</v>
      </c>
      <c r="D74" s="209"/>
      <c r="E74" s="238">
        <f>Inputs!E91</f>
        <v>12260769.600000001</v>
      </c>
      <c r="F74" s="209"/>
      <c r="H74" s="238">
        <f>Inputs!F91</f>
        <v>15325962</v>
      </c>
      <c r="I74" s="209"/>
      <c r="K74" s="24"/>
    </row>
    <row r="75" spans="1:11" ht="15" customHeight="1" x14ac:dyDescent="0.4">
      <c r="B75" s="104" t="s">
        <v>106</v>
      </c>
      <c r="C75" s="77">
        <f>Data!C8</f>
        <v>11151623</v>
      </c>
      <c r="D75" s="159">
        <f>C75/$C$74</f>
        <v>0.72762956087193742</v>
      </c>
      <c r="E75" s="238">
        <f>Inputs!E92</f>
        <v>8921298.4000000004</v>
      </c>
      <c r="F75" s="160">
        <f>E75/E74</f>
        <v>0.72762956087193742</v>
      </c>
      <c r="H75" s="238">
        <f>Inputs!F92</f>
        <v>11151623</v>
      </c>
      <c r="I75" s="160">
        <f>H75/$H$74</f>
        <v>0.72762956087193742</v>
      </c>
      <c r="K75" s="24"/>
    </row>
    <row r="76" spans="1:11" ht="15" customHeight="1" x14ac:dyDescent="0.4">
      <c r="B76" s="35" t="s">
        <v>96</v>
      </c>
      <c r="C76" s="161">
        <f>C74-C75</f>
        <v>4174339</v>
      </c>
      <c r="D76" s="210"/>
      <c r="E76" s="162">
        <f>E74-E75</f>
        <v>3339471.2000000011</v>
      </c>
      <c r="F76" s="210"/>
      <c r="H76" s="162">
        <f>H74-H75</f>
        <v>4174339</v>
      </c>
      <c r="I76" s="210"/>
      <c r="K76" s="24"/>
    </row>
    <row r="77" spans="1:11" ht="15" customHeight="1" x14ac:dyDescent="0.4">
      <c r="B77" s="104" t="s">
        <v>250</v>
      </c>
      <c r="C77" s="77">
        <f>Data!C10+MAX(Data!C11,0)</f>
        <v>2297566</v>
      </c>
      <c r="D77" s="159">
        <f>C77/$C$74</f>
        <v>0.14991333007350532</v>
      </c>
      <c r="E77" s="238">
        <f>Inputs!E93</f>
        <v>2027931.2918400001</v>
      </c>
      <c r="F77" s="160">
        <f>E77/E74</f>
        <v>0.16539999999999999</v>
      </c>
      <c r="H77" s="238">
        <f>Inputs!F93</f>
        <v>2534914.1148000001</v>
      </c>
      <c r="I77" s="160">
        <f>H77/$H$74</f>
        <v>0.16540000000000002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233</v>
      </c>
      <c r="C79" s="257">
        <f>C76-C77-C78</f>
        <v>1876773</v>
      </c>
      <c r="D79" s="258">
        <f>C79/C74</f>
        <v>0.12245710905455723</v>
      </c>
      <c r="E79" s="259">
        <f>E76-E77-E78</f>
        <v>1311539.908160001</v>
      </c>
      <c r="F79" s="258">
        <f>E79/E74</f>
        <v>0.10697043912806263</v>
      </c>
      <c r="G79" s="260"/>
      <c r="H79" s="259">
        <f>H76-H77-H78</f>
        <v>1639424.8851999999</v>
      </c>
      <c r="I79" s="258">
        <f>H79/H74</f>
        <v>0.10697043912806256</v>
      </c>
      <c r="K79" s="24"/>
    </row>
    <row r="80" spans="1:11" ht="15" customHeight="1" x14ac:dyDescent="0.4">
      <c r="B80" s="28" t="s">
        <v>110</v>
      </c>
      <c r="C80" s="77">
        <f>MAX(Data!C16,0)</f>
        <v>626583</v>
      </c>
      <c r="D80" s="159">
        <f>C80/$C$74</f>
        <v>4.0883763120383568E-2</v>
      </c>
      <c r="E80" s="180">
        <f>E74*F80</f>
        <v>245215.39200000002</v>
      </c>
      <c r="F80" s="160">
        <f>I80</f>
        <v>0.02</v>
      </c>
      <c r="H80" s="238">
        <f>Inputs!F96</f>
        <v>306519.24</v>
      </c>
      <c r="I80" s="160">
        <f>H80/$H$74</f>
        <v>0.02</v>
      </c>
      <c r="K80" s="181" t="s">
        <v>132</v>
      </c>
    </row>
    <row r="81" spans="1:11" ht="15" customHeight="1" x14ac:dyDescent="0.4">
      <c r="B81" s="104" t="s">
        <v>260</v>
      </c>
      <c r="C81" s="77">
        <f>MAX(Data!C17,0)</f>
        <v>59596</v>
      </c>
      <c r="D81" s="159">
        <f>C81/$C$74</f>
        <v>3.8885650375487034E-3</v>
      </c>
      <c r="E81" s="180">
        <f>E74*F81</f>
        <v>47676.80000000001</v>
      </c>
      <c r="F81" s="160">
        <f>I81</f>
        <v>3.8885650375487034E-3</v>
      </c>
      <c r="H81" s="238">
        <f>Inputs!F94</f>
        <v>59596</v>
      </c>
      <c r="I81" s="160">
        <f>H81/$H$74</f>
        <v>3.8885650375487034E-3</v>
      </c>
      <c r="K81" s="24"/>
    </row>
    <row r="82" spans="1:11" ht="15" customHeight="1" x14ac:dyDescent="0.4">
      <c r="B82" s="28" t="s">
        <v>249</v>
      </c>
      <c r="C82" s="77">
        <f>ABS(MAX(Data!C21,0)-MAX(Data!C19,0))</f>
        <v>219833</v>
      </c>
      <c r="D82" s="159">
        <f>C82/$C$74</f>
        <v>1.4343830423173436E-2</v>
      </c>
      <c r="E82" s="238">
        <f>Inputs!E95</f>
        <v>122607.69600000001</v>
      </c>
      <c r="F82" s="160">
        <f>E82/E74</f>
        <v>0.01</v>
      </c>
      <c r="H82" s="238">
        <f>Inputs!F95</f>
        <v>153259.62</v>
      </c>
      <c r="I82" s="160">
        <f>H82/$H$74</f>
        <v>0.01</v>
      </c>
      <c r="K82" s="24"/>
    </row>
    <row r="83" spans="1:11" ht="15" customHeight="1" thickBot="1" x14ac:dyDescent="0.45">
      <c r="B83" s="105" t="s">
        <v>126</v>
      </c>
      <c r="C83" s="163">
        <f>C79-C81-C82-C80</f>
        <v>970761</v>
      </c>
      <c r="D83" s="164">
        <f>C83/$C$74</f>
        <v>6.3340950473451521E-2</v>
      </c>
      <c r="E83" s="165">
        <f>E79-E81-E82-E80</f>
        <v>896040.020160001</v>
      </c>
      <c r="F83" s="164">
        <f>E83/E74</f>
        <v>7.3081874090513935E-2</v>
      </c>
      <c r="H83" s="165">
        <f>H79-H81-H82-H80</f>
        <v>1120050.0251999998</v>
      </c>
      <c r="I83" s="164">
        <f>H83/$H$74</f>
        <v>7.3081874090513851E-2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165</v>
      </c>
      <c r="C85" s="257">
        <f>C83*(1-I84)</f>
        <v>728070.75</v>
      </c>
      <c r="D85" s="258">
        <f>C85/$C$74</f>
        <v>4.7505712855088637E-2</v>
      </c>
      <c r="E85" s="264">
        <f>E83*(1-F84)</f>
        <v>672030.01512000081</v>
      </c>
      <c r="F85" s="258">
        <f>E85/E74</f>
        <v>5.4811405567885454E-2</v>
      </c>
      <c r="G85" s="260"/>
      <c r="H85" s="264">
        <f>H83*(1-I84)</f>
        <v>840037.51889999979</v>
      </c>
      <c r="I85" s="258">
        <f>H85/$H$74</f>
        <v>5.4811405567885385E-2</v>
      </c>
      <c r="K85" s="24"/>
    </row>
    <row r="86" spans="1:11" ht="15" customHeight="1" x14ac:dyDescent="0.4">
      <c r="B86" s="87" t="s">
        <v>161</v>
      </c>
      <c r="C86" s="167">
        <f>C85*Data!C4/Common_Shares</f>
        <v>1.2400971133327547</v>
      </c>
      <c r="D86" s="209"/>
      <c r="E86" s="168">
        <f>E85*Data!C4/Common_Shares</f>
        <v>1.1446449151037597</v>
      </c>
      <c r="F86" s="209"/>
      <c r="H86" s="168">
        <f>H85*Data!C4/Common_Shares</f>
        <v>1.4308061438796973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8.5760519594243065E-2</v>
      </c>
      <c r="D87" s="209"/>
      <c r="E87" s="262">
        <f>E86*Exchange_Rate/Dashboard!G3</f>
        <v>7.9159399384768986E-2</v>
      </c>
      <c r="F87" s="209"/>
      <c r="H87" s="262">
        <f>H86*Exchange_Rate/Dashboard!G3</f>
        <v>9.8949249230961073E-2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1.3599999999999999</v>
      </c>
      <c r="D88" s="166">
        <f>C88/C86</f>
        <v>1.0966883039869408</v>
      </c>
      <c r="E88" s="170">
        <f>Inputs!E98</f>
        <v>1</v>
      </c>
      <c r="F88" s="166">
        <f>E88/E86</f>
        <v>0.87363337468663993</v>
      </c>
      <c r="H88" s="170">
        <f>Inputs!F98</f>
        <v>1.1000000000000001</v>
      </c>
      <c r="I88" s="166">
        <f>H88/H86</f>
        <v>0.76879736972424439</v>
      </c>
      <c r="K88" s="24"/>
    </row>
    <row r="89" spans="1:11" ht="15" customHeight="1" x14ac:dyDescent="0.4">
      <c r="B89" s="87" t="s">
        <v>222</v>
      </c>
      <c r="C89" s="261">
        <f>C88*Exchange_Rate/Dashboard!G3</f>
        <v>9.4052558782849224E-2</v>
      </c>
      <c r="D89" s="209"/>
      <c r="E89" s="261">
        <f>E88*Exchange_Rate/Dashboard!G3</f>
        <v>6.9156293222683254E-2</v>
      </c>
      <c r="F89" s="209"/>
      <c r="H89" s="261">
        <f>H88*Exchange_Rate/Dashboard!G3</f>
        <v>7.6071922544951598E-2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HK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7.5250000000000011E-2</v>
      </c>
      <c r="D93" s="239">
        <f>Inputs!C86</f>
        <v>5</v>
      </c>
      <c r="E93" s="87" t="s">
        <v>210</v>
      </c>
      <c r="F93" s="144">
        <f>FV(E87,D93,0,-(E86/(C93-D94)))*Exchange_Rate</f>
        <v>30.322603683417526</v>
      </c>
      <c r="H93" s="87" t="s">
        <v>210</v>
      </c>
      <c r="I93" s="144">
        <f>FV(H87,D93,0,-(H86/(C93-D94)))*Exchange_Rate</f>
        <v>41.508467291779205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25.285625462441864</v>
      </c>
      <c r="H94" s="87" t="s">
        <v>211</v>
      </c>
      <c r="I94" s="144">
        <f>FV(H89,D93,0,-(H88/(C93-D94)))*Exchange_Rate</f>
        <v>28.725453995086379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12116170.683120806</v>
      </c>
      <c r="D97" s="213"/>
      <c r="E97" s="123">
        <f>PV(C94,D93,0,-F93)</f>
        <v>15.075693105065426</v>
      </c>
      <c r="F97" s="213"/>
      <c r="H97" s="123">
        <f>PV(C94,D93,0,-I93)</f>
        <v>20.637044255362632</v>
      </c>
      <c r="I97" s="123">
        <f>PV(C93,D93,0,-I93)</f>
        <v>28.879484788837409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-51379.699999999953</v>
      </c>
      <c r="D99" s="214"/>
      <c r="E99" s="145">
        <f>IF(H99&gt;0,H99*(1-C94),H99*(1+C94))</f>
        <v>-0.1006402060541346</v>
      </c>
      <c r="F99" s="214"/>
      <c r="H99" s="145">
        <f>C99*Data!$C$4/Common_Shares</f>
        <v>-8.7513222655769218E-2</v>
      </c>
      <c r="I99" s="216"/>
      <c r="K99" s="24"/>
    </row>
    <row r="100" spans="2:11" ht="15" customHeight="1" thickTop="1" x14ac:dyDescent="0.4">
      <c r="B100" s="1" t="s">
        <v>115</v>
      </c>
      <c r="C100" s="91">
        <f>C97-C98+$C$99</f>
        <v>12064790.983120807</v>
      </c>
      <c r="D100" s="109">
        <f>MIN(F100*(1-C94),E100)</f>
        <v>14.975052899011292</v>
      </c>
      <c r="E100" s="109">
        <f>MAX(E97-H98+E99,0)</f>
        <v>14.975052899011292</v>
      </c>
      <c r="F100" s="109">
        <f>(E100+H100)/2</f>
        <v>17.762291965859077</v>
      </c>
      <c r="H100" s="109">
        <f>MAX(C100*Data!$C$4/Common_Shares,0)</f>
        <v>20.549531032706863</v>
      </c>
      <c r="I100" s="109">
        <f>MAX(I97-H98+H99,0)</f>
        <v>28.79197156618164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8384855.5791779673</v>
      </c>
      <c r="D103" s="109">
        <f>MIN(F103*(1-C94),E103)</f>
        <v>11.412547165717928</v>
      </c>
      <c r="E103" s="123">
        <f>PV(C94,D93,0,-F94)</f>
        <v>12.571424717392157</v>
      </c>
      <c r="F103" s="109">
        <f>(E103+H103)/2</f>
        <v>13.426526077315209</v>
      </c>
      <c r="H103" s="123">
        <f>PV(C94,D93,0,-I94)</f>
        <v>14.281627437238264</v>
      </c>
      <c r="I103" s="109">
        <f>PV(C93,D93,0,-I94)</f>
        <v>19.985712935920532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8086376.6242198776</v>
      </c>
      <c r="D106" s="109">
        <f>(D100+D103)/2</f>
        <v>13.19380003236461</v>
      </c>
      <c r="E106" s="123">
        <f>(E100+E103)/2</f>
        <v>13.773238808201725</v>
      </c>
      <c r="F106" s="109">
        <f>(F100+F103)/2</f>
        <v>15.594409021587143</v>
      </c>
      <c r="H106" s="123">
        <f>(H100+H103)/2</f>
        <v>17.415579234972562</v>
      </c>
      <c r="I106" s="123">
        <f>(I100+I103)/2</f>
        <v>24.388842251051088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2024-12-11T08:12:37Z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