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1D9A7688-A3EB-4767-A8ED-C682097981FE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E95" i="4"/>
  <c r="E93" i="4"/>
  <c r="F92" i="4"/>
  <c r="E92" i="4"/>
  <c r="F91" i="4"/>
  <c r="F96" i="4" s="1"/>
  <c r="E91" i="4"/>
  <c r="D71" i="4"/>
  <c r="D69" i="4"/>
  <c r="D68" i="4"/>
  <c r="D67" i="4"/>
  <c r="D62" i="4"/>
  <c r="D63" i="4" s="1"/>
  <c r="D61" i="4"/>
  <c r="D60" i="4"/>
  <c r="D59" i="4"/>
  <c r="D58" i="4"/>
  <c r="D55" i="4"/>
  <c r="D53" i="4"/>
  <c r="D50" i="4"/>
  <c r="D56" i="4" s="1"/>
  <c r="C44" i="4"/>
  <c r="M52" i="2"/>
  <c r="F93" i="4" l="1"/>
  <c r="F94" i="4"/>
  <c r="F95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4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<sst xmlns="http://schemas.openxmlformats.org/spreadsheetml/2006/main" count="391" uniqueCount="272">
  <si>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</si>
  <si>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</si>
  <si>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</si>
  <si>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</si>
  <si>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</si>
  <si>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</si>
  <si>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</si>
  <si>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</si>
  <si>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</si>
  <si>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</si>
  <si>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</si>
  <si>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</si>
  <si>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</si>
  <si>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</si>
  <si>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</si>
  <si>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</si>
  <si>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</si>
  <si>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</si>
  <si>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</si>
  <si>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</si>
  <si>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</si>
  <si>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</si>
  <si>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</si>
  <si>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</si>
  <si>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</si>
  <si>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</si>
  <si>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</si>
  <si>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</si>
  <si>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</si>
  <si>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</si>
  <si>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</si>
  <si>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</si>
  <si>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</si>
  <si>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</si>
  <si>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</si>
  <si>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</si>
  <si>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</si>
  <si>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</si>
  <si>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</si>
  <si>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</si>
  <si>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</si>
  <si>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</si>
  <si>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</si>
  <si>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</si>
  <si>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</si>
  <si>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</si>
  <si>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</si>
  <si>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</si>
  <si>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</si>
  <si>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</si>
  <si>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</si>
  <si>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</si>
  <si>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</si>
  <si>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</si>
  <si>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</si>
  <si>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</si>
  <si>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</si>
  <si>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</si>
  <si>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</si>
  <si>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</si>
  <si>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</si>
  <si>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</si>
  <si>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</si>
  <si>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</si>
  <si>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</si>
  <si>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</si>
  <si>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</si>
  <si>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</si>
  <si>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</si>
  <si>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</si>
  <si>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</si>
  <si>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</si>
  <si>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</si>
  <si>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</si>
  <si>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</si>
  <si>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</si>
  <si>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</si>
  <si>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</si>
  <si>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</si>
  <si>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</si>
  <si>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</si>
  <si>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</si>
  <si>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</si>
  <si>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</si>
  <si>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</si>
  <si>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</si>
  <si>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</si>
  <si>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</si>
  <si>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</si>
  <si>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</si>
  <si>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</si>
  <si>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</si>
  <si>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</si>
  <si>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</si>
  <si>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</si>
  <si>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</si>
  <si>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</si>
  <si>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</si>
  <si>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</si>
  <si>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</si>
  <si>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</si>
  <si>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</si>
  <si>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</si>
  <si>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</si>
  <si>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</si>
  <si>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</si>
  <si>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</si>
  <si>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</si>
  <si>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</si>
  <si>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</si>
  <si>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</si>
  <si>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</si>
  <si>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</si>
  <si>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</si>
  <si>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</si>
  <si>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</si>
  <si>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</si>
  <si>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</si>
  <si>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</si>
  <si>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</si>
  <si>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</si>
  <si>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</si>
  <si>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</si>
  <si>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</si>
  <si>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</si>
  <si>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</si>
  <si>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</si>
  <si>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</si>
  <si>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</si>
  <si>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</si>
  <si>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</si>
  <si>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</si>
  <si>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</si>
  <si>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</si>
  <si>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</si>
  <si>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</si>
  <si>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</si>
  <si>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</si>
  <si>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</si>
  <si>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</si>
  <si>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</si>
  <si>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</si>
  <si>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</si>
  <si>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</si>
  <si>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</si>
  <si>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</si>
  <si>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</si>
  <si>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</si>
  <si>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</si>
  <si>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</si>
  <si>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</si>
  <si>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</si>
  <si>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</si>
  <si>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</si>
  <si>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</si>
  <si>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</si>
  <si>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</si>
  <si>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</si>
  <si>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</si>
  <si>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</si>
  <si>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</si>
  <si>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</si>
  <si>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</si>
  <si>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</si>
  <si>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</si>
  <si>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</si>
  <si>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</si>
  <si>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</si>
  <si>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</si>
  <si>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</si>
  <si>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</si>
  <si>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</si>
  <si>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</si>
  <si>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</si>
  <si>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</si>
  <si>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</si>
  <si>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</si>
  <si>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</si>
  <si>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</si>
  <si>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</si>
  <si>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</si>
  <si>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</si>
  <si>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</si>
  <si>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</si>
  <si>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</si>
  <si>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</si>
  <si>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</si>
  <si>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</si>
  <si>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</si>
  <si>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</si>
  <si>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</si>
  <si>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</si>
  <si>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</si>
  <si>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</si>
  <si>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</si>
  <si>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</si>
  <si>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</si>
  <si>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</si>
  <si>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</si>
  <si>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</si>
  <si>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</si>
  <si>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</si>
  <si>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</si>
  <si>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</si>
  <si>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</si>
  <si>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</si>
  <si>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</si>
  <si>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</si>
  <si>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</si>
  <si>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</si>
  <si>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</si>
  <si>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</si>
  <si>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</si>
  <si>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</si>
  <si>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</si>
  <si>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</si>
  <si>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</si>
  <si>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</si>
  <si>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</si>
  <si>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</si>
  <si>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</si>
  <si>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</si>
  <si>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</si>
  <si>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</si>
  <si>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</si>
  <si>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</si>
  <si>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</si>
  <si>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</si>
  <si>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</si>
  <si>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</si>
  <si>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</si>
  <si>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</si>
  <si>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</si>
  <si>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</si>
  <si>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</si>
  <si>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</si>
  <si>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</si>
  <si>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</si>
  <si>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</si>
  <si>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</si>
  <si>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</si>
  <si>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</si>
  <si>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</si>
  <si>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</si>
  <si>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</si>
  <si>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</si>
  <si>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</si>
  <si>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</si>
  <si>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</si>
  <si>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</si>
  <si>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</si>
  <si>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</si>
  <si>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</si>
  <si>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</si>
  <si>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</si>
  <si>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</si>
  <si>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</si>
  <si>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</si>
  <si>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</si>
  <si>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</si>
  <si>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</si>
  <si>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</si>
  <si>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</si>
  <si>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0696.HK</t>
  </si>
  <si>
    <t>中國民航信息網絡</t>
  </si>
  <si>
    <t>C0009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</si>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</sst>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0.48660635459513968</c:v>
                </c:pt>
                <c:pt idx="1">
                  <c:v>0.2941332211490556</c:v>
                </c:pt>
                <c:pt idx="2">
                  <c:v>9.3403926661713623E-3</c:v>
                </c:pt>
                <c:pt idx="3">
                  <c:v>0</c:v>
                </c:pt>
                <c:pt idx="4">
                  <c:v>2.1757339633768379E-3</c:v>
                </c:pt>
                <c:pt idx="5">
                  <c:v>0</c:v>
                </c:pt>
                <c:pt idx="6">
                  <c:v>0.20774429762625654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2926209589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6983846860.7700005</v>
      </c>
      <c r="D25" s="149">
        <v>5210105771.0900002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3398384261.9699998</v>
      </c>
      <c r="D26" s="150">
        <v>3162230075.25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1191142720.1700001</v>
      </c>
      <c r="D27" s="150">
        <v>1028568099.8399999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863038653</v>
      </c>
      <c r="D28" s="150">
        <v>701713632.36000001</v>
      </c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15194992.810000001</v>
      </c>
      <c r="D29" s="150">
        <v>12415189.01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48923904</v>
      </c>
      <c r="D30" s="150">
        <v>52800637.210000001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0.16</f>
        <v>0.16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1.6216807293169426E-2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261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260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6983846860.7700005</v>
      </c>
      <c r="D91" s="209"/>
      <c r="E91" s="251">
        <f>C91</f>
        <v>6983846860.7700005</v>
      </c>
      <c r="F91" s="251">
        <f>C91</f>
        <v>6983846860.7700005</v>
      </c>
    </row>
    <row r="92" spans="2:8" ht="13.9" x14ac:dyDescent="0.4">
      <c r="B92" s="104" t="s">
        <v>105</v>
      </c>
      <c r="C92" s="77">
        <f>C26</f>
        <v>3398384261.9699998</v>
      </c>
      <c r="D92" s="159">
        <f>C92/C91</f>
        <v>0.48660635459513968</v>
      </c>
      <c r="E92" s="252">
        <f>E91*D92</f>
        <v>3398384261.9699998</v>
      </c>
      <c r="F92" s="252">
        <f>F91*D92</f>
        <v>3398384261.9699998</v>
      </c>
    </row>
    <row r="93" spans="2:8" ht="13.9" x14ac:dyDescent="0.4">
      <c r="B93" s="104" t="s">
        <v>247</v>
      </c>
      <c r="C93" s="77">
        <f>C27+C28</f>
        <v>2054181373.1700001</v>
      </c>
      <c r="D93" s="159">
        <f>C93/C91</f>
        <v>0.2941332211490556</v>
      </c>
      <c r="E93" s="252">
        <f>E91*D93</f>
        <v>2054181373.1700003</v>
      </c>
      <c r="F93" s="252">
        <f>F91*D93</f>
        <v>2054181373.1700003</v>
      </c>
    </row>
    <row r="94" spans="2:8" ht="13.9" x14ac:dyDescent="0.4">
      <c r="B94" s="104" t="s">
        <v>256</v>
      </c>
      <c r="C94" s="77">
        <f>C29</f>
        <v>15194992.810000001</v>
      </c>
      <c r="D94" s="159">
        <f>C94/C91</f>
        <v>2.1757339633768379E-3</v>
      </c>
      <c r="E94" s="253"/>
      <c r="F94" s="252">
        <f>F91*D94</f>
        <v>15194992.810000001</v>
      </c>
    </row>
    <row r="95" spans="2:8" ht="13.9" x14ac:dyDescent="0.4">
      <c r="B95" s="28" t="s">
        <v>246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65231872</v>
      </c>
      <c r="D97" s="159">
        <f>C97/C91</f>
        <v>9.3403926661713623E-3</v>
      </c>
      <c r="E97" s="253"/>
      <c r="F97" s="252">
        <f>F91*D97</f>
        <v>65231872</v>
      </c>
    </row>
    <row r="98" spans="2:7" ht="13.9" x14ac:dyDescent="0.4">
      <c r="B98" s="86" t="s">
        <v>207</v>
      </c>
      <c r="C98" s="237">
        <f>C44</f>
        <v>0.16</v>
      </c>
      <c r="D98" s="266"/>
      <c r="E98" s="254">
        <f>F98</f>
        <v>0.16</v>
      </c>
      <c r="F98" s="254">
        <f>C98</f>
        <v>0.16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0696.HK : 中國民航信息網絡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0696.HK</v>
      </c>
      <c r="D3" s="278"/>
      <c r="E3" s="87"/>
      <c r="F3" s="3" t="s">
        <v>1</v>
      </c>
      <c r="G3" s="132">
        <v>10.56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中國民航信息網絡</v>
      </c>
      <c r="D4" s="280"/>
      <c r="E4" s="87"/>
      <c r="F4" s="3" t="s">
        <v>2</v>
      </c>
      <c r="G4" s="283">
        <f>Inputs!C10</f>
        <v>2926209589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30900.77325984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C0009</v>
      </c>
      <c r="E7" s="87"/>
      <c r="F7" s="35" t="s">
        <v>5</v>
      </c>
      <c r="G7" s="133">
        <v>1.0703092813491821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0.48660635459513968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0.2941332211490556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9.3403926661713623E-3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2.1757339633768379E-3</v>
      </c>
      <c r="F24" s="140" t="s">
        <v>258</v>
      </c>
      <c r="G24" s="268">
        <f>G3/(Fin_Analysis!H86*G7)</f>
        <v>26.532304509497894</v>
      </c>
    </row>
    <row r="25" spans="1:8" ht="15.75" customHeight="1" x14ac:dyDescent="0.4">
      <c r="B25" s="137" t="s">
        <v>243</v>
      </c>
      <c r="C25" s="171">
        <f>Fin_Analysis!I82</f>
        <v>0</v>
      </c>
      <c r="F25" s="140" t="s">
        <v>174</v>
      </c>
      <c r="G25" s="171">
        <f>Fin_Analysis!I88</f>
        <v>0.43026926927421749</v>
      </c>
    </row>
    <row r="26" spans="1:8" ht="15.75" customHeight="1" x14ac:dyDescent="0.4">
      <c r="B26" s="138" t="s">
        <v>173</v>
      </c>
      <c r="C26" s="171">
        <f>Fin_Analysis!I83</f>
        <v>0.20774429762625654</v>
      </c>
      <c r="F26" s="141" t="s">
        <v>193</v>
      </c>
      <c r="G26" s="178">
        <f>Fin_Analysis!H88*Exchange_Rate/G3</f>
        <v>1.6216807293169426E-2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1.2963894579996891</v>
      </c>
      <c r="D29" s="129">
        <f>G29*(1+G20)</f>
        <v>2.3954094089003934</v>
      </c>
      <c r="E29" s="87"/>
      <c r="F29" s="131">
        <f>IF(Fin_Analysis!C108="Profit",Fin_Analysis!F100,IF(Fin_Analysis!C108="Dividend",Fin_Analysis!F103,Fin_Analysis!F106))</f>
        <v>1.5251640682349283</v>
      </c>
      <c r="G29" s="274">
        <f>IF(Fin_Analysis!C108="Profit",Fin_Analysis!I100,IF(Fin_Analysis!C108="Dividend",Fin_Analysis!I103,Fin_Analysis!I106))</f>
        <v>2.0829647033916467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1466049353.6300006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6983846860.7700005</v>
      </c>
      <c r="D6" s="200">
        <f>IF(Inputs!D25="","",Inputs!D25)</f>
        <v>5210105771.0900002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0.34044243391798124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3398384261.9699998</v>
      </c>
      <c r="D8" s="199">
        <f>IF(Inputs!D26="","",Inputs!D26)</f>
        <v>3162230075.25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3585462598.8000007</v>
      </c>
      <c r="D9" s="151">
        <f t="shared" si="2"/>
        <v>2047875695.8400002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1191142720.1700001</v>
      </c>
      <c r="D10" s="199">
        <f>IF(Inputs!D27="","",Inputs!D27)</f>
        <v>1028568099.8399999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863038653</v>
      </c>
      <c r="D11" s="199">
        <f>IF(Inputs!D28="","",Inputs!D28)</f>
        <v>701713632.36000001</v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65231872</v>
      </c>
      <c r="D12" s="199">
        <f>IF(Inputs!D30="","",MAX(Inputs!D30,0)/(1-Fin_Analysis!$I$84))</f>
        <v>70400849.61333333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0.2099200315896334</v>
      </c>
      <c r="D13" s="229">
        <f t="shared" si="3"/>
        <v>4.7444932000862604E-2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1466049353.6300006</v>
      </c>
      <c r="D14" s="230">
        <f t="shared" ref="D14:M14" si="4">IF(D6="","",D9-D10-MAX(D11,0)-MAX(D12,0))</f>
        <v>247193114.02666688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4.9307855698271803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15194992.810000001</v>
      </c>
      <c r="D17" s="199">
        <f>IF(Inputs!D29="","",Inputs!D29)</f>
        <v>12415189.01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1450854360.8200006</v>
      </c>
      <c r="D22" s="161">
        <f t="shared" ref="D22:M22" si="8">IF(D6="","",D14-MAX(D16,0)-MAX(D17,0)-ABS(MAX(D21,0)-MAX(D19,0)))</f>
        <v>234777925.01666689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0.15580822321969243</v>
      </c>
      <c r="D23" s="153">
        <f t="shared" si="9"/>
        <v>3.3796519974615018E-2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1088140770.6150005</v>
      </c>
      <c r="D24" s="77">
        <f>IF(D6="","",D22*(1-Fin_Analysis!$I$84))</f>
        <v>176083443.76250017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5.1796881487772088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0.48660635459513968</v>
      </c>
      <c r="D42" s="156">
        <f t="shared" si="34"/>
        <v>0.60694162732677759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0.2941332211490556</v>
      </c>
      <c r="D43" s="153">
        <f t="shared" si="35"/>
        <v>0.33210107591309218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2.1757339633768379E-3</v>
      </c>
      <c r="D45" s="153">
        <f t="shared" si="37"/>
        <v>2.3829053680425824E-3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9.3403926661713623E-3</v>
      </c>
      <c r="D46" s="153">
        <f t="shared" ref="D46:M46" si="38">IF(D6="","",MAX(D12,0)/D6)</f>
        <v>1.3512364759267613E-2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0.20774429762625657</v>
      </c>
      <c r="D48" s="153">
        <f t="shared" si="40"/>
        <v>4.5062026632820024E-2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 t="e">
        <f>IF(D6="","",C16/(C6-D6))</f>
        <v>#VALUE!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1.0473134465000349E-2</v>
      </c>
      <c r="D56" s="153">
        <f t="shared" si="46"/>
        <v>5.2880563660823929E-2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6983846860.7700005</v>
      </c>
      <c r="D74" s="209"/>
      <c r="E74" s="238">
        <f>Inputs!E91</f>
        <v>6983846860.7700005</v>
      </c>
      <c r="F74" s="209"/>
      <c r="H74" s="238">
        <f>Inputs!F91</f>
        <v>6983846860.7700005</v>
      </c>
      <c r="I74" s="209"/>
      <c r="K74" s="24"/>
    </row>
    <row r="75" spans="1:11" ht="15" customHeight="1" x14ac:dyDescent="0.4">
      <c r="B75" s="104" t="s">
        <v>105</v>
      </c>
      <c r="C75" s="77">
        <f>Data!C8</f>
        <v>3398384261.9699998</v>
      </c>
      <c r="D75" s="159">
        <f>C75/$C$74</f>
        <v>0.48660635459513968</v>
      </c>
      <c r="E75" s="238">
        <f>Inputs!E92</f>
        <v>3398384261.9699998</v>
      </c>
      <c r="F75" s="160">
        <f>E75/E74</f>
        <v>0.48660635459513968</v>
      </c>
      <c r="H75" s="238">
        <f>Inputs!F92</f>
        <v>3398384261.9699998</v>
      </c>
      <c r="I75" s="160">
        <f>H75/$H$74</f>
        <v>0.48660635459513968</v>
      </c>
      <c r="K75" s="24"/>
    </row>
    <row r="76" spans="1:11" ht="15" customHeight="1" x14ac:dyDescent="0.4">
      <c r="B76" s="35" t="s">
        <v>95</v>
      </c>
      <c r="C76" s="161">
        <f>C74-C75</f>
        <v>3585462598.8000007</v>
      </c>
      <c r="D76" s="210"/>
      <c r="E76" s="162">
        <f>E74-E75</f>
        <v>3585462598.8000007</v>
      </c>
      <c r="F76" s="210"/>
      <c r="H76" s="162">
        <f>H74-H75</f>
        <v>3585462598.8000007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2054181373.1700001</v>
      </c>
      <c r="D77" s="159">
        <f>C77/$C$74</f>
        <v>0.2941332211490556</v>
      </c>
      <c r="E77" s="238">
        <f>Inputs!E93</f>
        <v>2054181373.1700003</v>
      </c>
      <c r="F77" s="160">
        <f>E77/E74</f>
        <v>0.2941332211490556</v>
      </c>
      <c r="H77" s="238">
        <f>Inputs!F93</f>
        <v>2054181373.1700003</v>
      </c>
      <c r="I77" s="160">
        <f>H77/$H$74</f>
        <v>0.2941332211490556</v>
      </c>
      <c r="K77" s="24"/>
    </row>
    <row r="78" spans="1:11" ht="15" customHeight="1" x14ac:dyDescent="0.4">
      <c r="B78" s="73" t="s">
        <v>172</v>
      </c>
      <c r="C78" s="77">
        <f>MAX(Data!C12,0)</f>
        <v>65231872</v>
      </c>
      <c r="D78" s="159">
        <f>C78/$C$74</f>
        <v>9.3403926661713623E-3</v>
      </c>
      <c r="E78" s="180">
        <f>E74*F78</f>
        <v>65231872</v>
      </c>
      <c r="F78" s="160">
        <f>I78</f>
        <v>9.3403926661713623E-3</v>
      </c>
      <c r="H78" s="238">
        <f>Inputs!F97</f>
        <v>65231872</v>
      </c>
      <c r="I78" s="160">
        <f>H78/$H$74</f>
        <v>9.3403926661713623E-3</v>
      </c>
      <c r="K78" s="24"/>
    </row>
    <row r="79" spans="1:11" ht="15" customHeight="1" x14ac:dyDescent="0.4">
      <c r="B79" s="256" t="s">
        <v>232</v>
      </c>
      <c r="C79" s="257">
        <f>C76-C77-C78</f>
        <v>1466049353.6300006</v>
      </c>
      <c r="D79" s="258">
        <f>C79/C74</f>
        <v>0.2099200315896334</v>
      </c>
      <c r="E79" s="259">
        <f>E76-E77-E78</f>
        <v>1466049353.6300004</v>
      </c>
      <c r="F79" s="258">
        <f>E79/E74</f>
        <v>0.20992003158963338</v>
      </c>
      <c r="G79" s="260"/>
      <c r="H79" s="259">
        <f>H76-H77-H78</f>
        <v>1466049353.6300004</v>
      </c>
      <c r="I79" s="258">
        <f>H79/H74</f>
        <v>0.20992003158963338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15194992.810000001</v>
      </c>
      <c r="D81" s="159">
        <f>C81/$C$74</f>
        <v>2.1757339633768379E-3</v>
      </c>
      <c r="E81" s="180">
        <f>E74*F81</f>
        <v>15194992.810000001</v>
      </c>
      <c r="F81" s="160">
        <f>I81</f>
        <v>2.1757339633768379E-3</v>
      </c>
      <c r="H81" s="238">
        <f>Inputs!F94</f>
        <v>15194992.810000001</v>
      </c>
      <c r="I81" s="160">
        <f>H81/$H$74</f>
        <v>2.1757339633768379E-3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1450854360.8200006</v>
      </c>
      <c r="D83" s="164">
        <f>C83/$C$74</f>
        <v>0.20774429762625657</v>
      </c>
      <c r="E83" s="165">
        <f>E79-E81-E82-E80</f>
        <v>1450854360.8200004</v>
      </c>
      <c r="F83" s="164">
        <f>E83/E74</f>
        <v>0.20774429762625654</v>
      </c>
      <c r="H83" s="165">
        <f>H79-H81-H82-H80</f>
        <v>1450854360.8200004</v>
      </c>
      <c r="I83" s="164">
        <f>H83/$H$74</f>
        <v>0.20774429762625654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1088140770.6150005</v>
      </c>
      <c r="D85" s="258">
        <f>C85/$C$74</f>
        <v>0.15580822321969243</v>
      </c>
      <c r="E85" s="264">
        <f>E83*(1-F84)</f>
        <v>1088140770.6150002</v>
      </c>
      <c r="F85" s="258">
        <f>E85/E74</f>
        <v>0.1558082232196924</v>
      </c>
      <c r="G85" s="260"/>
      <c r="H85" s="264">
        <f>H83*(1-I84)</f>
        <v>1088140770.6150002</v>
      </c>
      <c r="I85" s="258">
        <f>H85/$H$74</f>
        <v>0.1558082232196924</v>
      </c>
      <c r="K85" s="24"/>
    </row>
    <row r="86" spans="1:11" ht="15" customHeight="1" x14ac:dyDescent="0.4">
      <c r="B86" s="87" t="s">
        <v>160</v>
      </c>
      <c r="C86" s="167">
        <f>C85*Data!C4/Common_Shares</f>
        <v>0.37186016159111168</v>
      </c>
      <c r="D86" s="209"/>
      <c r="E86" s="168">
        <f>E85*Data!C4/Common_Shares</f>
        <v>0.37186016159111157</v>
      </c>
      <c r="F86" s="209"/>
      <c r="H86" s="168">
        <f>H85*Data!C4/Common_Shares</f>
        <v>0.37186016159111157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3.7689903628311885E-2</v>
      </c>
      <c r="D87" s="209"/>
      <c r="E87" s="262">
        <f>E86*Exchange_Rate/Dashboard!G3</f>
        <v>3.7689903628311865E-2</v>
      </c>
      <c r="F87" s="209"/>
      <c r="H87" s="262">
        <f>H86*Exchange_Rate/Dashboard!G3</f>
        <v>3.7689903628311865E-2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0.16</v>
      </c>
      <c r="D88" s="166">
        <f>C88/C86</f>
        <v>0.43026926927421733</v>
      </c>
      <c r="E88" s="170">
        <f>Inputs!E98</f>
        <v>0.16</v>
      </c>
      <c r="F88" s="166">
        <f>E88/E86</f>
        <v>0.43026926927421749</v>
      </c>
      <c r="H88" s="170">
        <f>Inputs!F98</f>
        <v>0.16</v>
      </c>
      <c r="I88" s="166">
        <f>H88/H86</f>
        <v>0.43026926927421749</v>
      </c>
      <c r="K88" s="24"/>
    </row>
    <row r="89" spans="1:11" ht="15" customHeight="1" x14ac:dyDescent="0.4">
      <c r="B89" s="87" t="s">
        <v>221</v>
      </c>
      <c r="C89" s="261">
        <f>C88*Exchange_Rate/Dashboard!G3</f>
        <v>1.6216807293169426E-2</v>
      </c>
      <c r="D89" s="209"/>
      <c r="E89" s="261">
        <f>E88*Exchange_Rate/Dashboard!G3</f>
        <v>1.6216807293169426E-2</v>
      </c>
      <c r="F89" s="209"/>
      <c r="H89" s="261">
        <f>H88*Exchange_Rate/Dashboard!G3</f>
        <v>1.6216807293169426E-2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8.0500000000000002E-2</v>
      </c>
      <c r="D93" s="239">
        <f>Inputs!C86</f>
        <v>5</v>
      </c>
      <c r="E93" s="87" t="s">
        <v>209</v>
      </c>
      <c r="F93" s="144">
        <f>FV(E87,D93,0,-(E86/(C93-D94)))*Exchange_Rate</f>
        <v>7.9153755780464561</v>
      </c>
      <c r="H93" s="87" t="s">
        <v>209</v>
      </c>
      <c r="I93" s="144">
        <f>FV(H87,D93,0,-(H86/(C93-D94)))*Exchange_Rate</f>
        <v>7.9153755780464561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3.0676497107610627</v>
      </c>
      <c r="H94" s="87" t="s">
        <v>210</v>
      </c>
      <c r="I94" s="144">
        <f>FV(H89,D93,0,-(H88/(C93-D94)))*Exchange_Rate</f>
        <v>3.0676497107610627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11515631366.20455</v>
      </c>
      <c r="D97" s="213"/>
      <c r="E97" s="123">
        <f>PV(C94,D93,0,-F93)</f>
        <v>3.9353405885529513</v>
      </c>
      <c r="F97" s="213"/>
      <c r="H97" s="123">
        <f>PV(C94,D93,0,-I93)</f>
        <v>3.9353405885529513</v>
      </c>
      <c r="I97" s="123">
        <f>PV(C93,D93,0,-I93)</f>
        <v>5.374618844297121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11515631366.20455</v>
      </c>
      <c r="D100" s="109">
        <f>MIN(F100*(1-C94),E100)</f>
        <v>3.3450395002700084</v>
      </c>
      <c r="E100" s="109">
        <f>MAX(E97-H98+E99,0)</f>
        <v>3.9353405885529513</v>
      </c>
      <c r="F100" s="109">
        <f>(E100+H100)/2</f>
        <v>3.9353405885529513</v>
      </c>
      <c r="H100" s="109">
        <f>MAX(C100*Data!$C$4/Common_Shares,0)</f>
        <v>3.9353405885529513</v>
      </c>
      <c r="I100" s="109">
        <f>MAX(I97-H98+H99,0)</f>
        <v>5.374618844297121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4462949721.2672977</v>
      </c>
      <c r="D103" s="109">
        <f>MIN(F103*(1-C94),E103)</f>
        <v>1.2963894579996891</v>
      </c>
      <c r="E103" s="123">
        <f>PV(C94,D93,0,-F94)</f>
        <v>1.5251640682349283</v>
      </c>
      <c r="F103" s="109">
        <f>(E103+H103)/2</f>
        <v>1.5251640682349283</v>
      </c>
      <c r="H103" s="123">
        <f>PV(C94,D93,0,-I94)</f>
        <v>1.5251640682349283</v>
      </c>
      <c r="I103" s="109">
        <f>PV(C93,D93,0,-I94)</f>
        <v>2.0829647033916467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7989290543.7359238</v>
      </c>
      <c r="D106" s="109">
        <f>(D100+D103)/2</f>
        <v>2.3207144791348489</v>
      </c>
      <c r="E106" s="123">
        <f>(E100+E103)/2</f>
        <v>2.7302523283939397</v>
      </c>
      <c r="F106" s="109">
        <f>(F100+F103)/2</f>
        <v>2.7302523283939397</v>
      </c>
      <c r="H106" s="123">
        <f>(H100+H103)/2</f>
        <v>2.7302523283939397</v>
      </c>
      <c r="I106" s="123">
        <f>(I100+I103)/2</f>
        <v>3.7287917738443839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2024-12-11T08:12:42Z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