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8255F0-F05A-4379-AC96-824492A6D9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M52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<sst xmlns="http://schemas.openxmlformats.org/spreadsheetml/2006/main" count="391" uniqueCount="272">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</sst>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3.17665188861496</v>
      </c>
      <c r="D44" s="250">
        <f>2.4/Exchange_Rate</f>
        <v>2.2423425096105598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8.3088954056695988E-3</v>
      </c>
      <c r="D45" s="152">
        <f>IF(D44="","",D44*Exchange_Rate/Dashboard!$G$3)</f>
        <v>5.8651026392961877E-3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3.17665188861496</v>
      </c>
      <c r="D98" s="266"/>
      <c r="E98" s="254">
        <f>F98</f>
        <v>3.17665188861496</v>
      </c>
      <c r="F98" s="254">
        <f>C98</f>
        <v>3.17665188861496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409.2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3792223.0499736001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3.8196647497426204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33.906409174132264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0.28172480740970113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8.3088954056695988E-3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72.395213170153752</v>
      </c>
      <c r="D29" s="129">
        <f>G29*(1+G20)</f>
        <v>146.18414489402844</v>
      </c>
      <c r="E29" s="87"/>
      <c r="F29" s="131">
        <f>IF(Fin_Analysis!C108="Profit",Fin_Analysis!F100,IF(Fin_Analysis!C108="Dividend",Fin_Analysis!F103,Fin_Analysis!F106))</f>
        <v>85.1708390237103</v>
      </c>
      <c r="G29" s="274">
        <f>IF(Fin_Analysis!C108="Profit",Fin_Analysis!I100,IF(Fin_Analysis!C108="Dividend",Fin_Analysis!I103,Fin_Analysis!I106))</f>
        <v>127.11664773393777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0.43950826903206702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0.44519746932515336</v>
      </c>
      <c r="D55" s="157">
        <f t="shared" si="45"/>
        <v>5.6738563800966181E-2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8.8050585305284618E-2</v>
      </c>
      <c r="D56" s="153">
        <f t="shared" si="46"/>
        <v>0.10072412517995426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1.3450387544929943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-273620.75361610309</v>
      </c>
      <c r="E6" s="56">
        <f>1-D6/D3</f>
        <v>1.2949780493210987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3.8196647497426204</v>
      </c>
      <c r="E53" s="88">
        <f>IF(C53=0,0,MAX(C53,C53*Dashboard!G23))</f>
        <v>255596.6863937772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2.94929491018741E-2</v>
      </c>
      <c r="D87" s="209"/>
      <c r="E87" s="262">
        <f>E86*Exchange_Rate/Dashboard!G3</f>
        <v>2.94929491018741E-2</v>
      </c>
      <c r="F87" s="209"/>
      <c r="H87" s="262">
        <f>H86*Exchange_Rate/Dashboard!G3</f>
        <v>2.94929491018741E-2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3.17665188861496</v>
      </c>
      <c r="D88" s="166">
        <f>C88/C86</f>
        <v>0.28172480740970113</v>
      </c>
      <c r="E88" s="170">
        <f>Inputs!E98</f>
        <v>3.17665188861496</v>
      </c>
      <c r="F88" s="166">
        <f>E88/E86</f>
        <v>0.28172480740970113</v>
      </c>
      <c r="H88" s="170">
        <f>Inputs!F98</f>
        <v>3.17665188861496</v>
      </c>
      <c r="I88" s="166">
        <f>H88/H86</f>
        <v>0.28172480740970113</v>
      </c>
      <c r="K88" s="24"/>
    </row>
    <row r="89" spans="1:11" ht="15" customHeight="1" x14ac:dyDescent="0.4">
      <c r="B89" s="87" t="s">
        <v>221</v>
      </c>
      <c r="C89" s="261">
        <f>C88*Exchange_Rate/Dashboard!G3</f>
        <v>8.3088954056695988E-3</v>
      </c>
      <c r="D89" s="209"/>
      <c r="E89" s="261">
        <f>E88*Exchange_Rate/Dashboard!G3</f>
        <v>8.3088954056695988E-3</v>
      </c>
      <c r="F89" s="209"/>
      <c r="H89" s="261">
        <f>H88*Exchange_Rate/Dashboard!G3</f>
        <v>8.3088954056695988E-3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230.6828638182098</v>
      </c>
      <c r="H93" s="87" t="s">
        <v>209</v>
      </c>
      <c r="I93" s="144">
        <f>FV(H87,D93,0,-(H86/(C93-D94)))*Exchange_Rate</f>
        <v>230.6828638182098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58.57219982884282</v>
      </c>
      <c r="H94" s="87" t="s">
        <v>210</v>
      </c>
      <c r="I94" s="144">
        <f>FV(H89,D93,0,-(H88/(C93-D94)))*Exchange_Rate</f>
        <v>58.57219982884282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1062880.3574676383</v>
      </c>
      <c r="D97" s="213"/>
      <c r="E97" s="123">
        <f>PV(C94,D93,0,-F93)</f>
        <v>114.69015312239755</v>
      </c>
      <c r="F97" s="213"/>
      <c r="H97" s="123">
        <f>PV(C94,D93,0,-I93)</f>
        <v>114.69015312239755</v>
      </c>
      <c r="I97" s="123">
        <f>PV(C93,D93,0,-I93)</f>
        <v>156.63596183262501</v>
      </c>
      <c r="K97" s="24"/>
    </row>
    <row r="98" spans="2:11" ht="15" customHeight="1" x14ac:dyDescent="0.4">
      <c r="B98" s="28" t="s">
        <v>144</v>
      </c>
      <c r="C98" s="91">
        <f>E53*Exchange_Rate</f>
        <v>273567.50572935597</v>
      </c>
      <c r="D98" s="213"/>
      <c r="E98" s="213"/>
      <c r="F98" s="213"/>
      <c r="H98" s="123">
        <f>C98*Data!$C$4/Common_Shares</f>
        <v>29.51931409868725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789312.85173828236</v>
      </c>
      <c r="D100" s="109">
        <f>MIN(F100*(1-C94),E100)</f>
        <v>72.395213170153752</v>
      </c>
      <c r="E100" s="109">
        <f>MAX(E97-H98+E99,0)</f>
        <v>85.1708390237103</v>
      </c>
      <c r="F100" s="109">
        <f>(E100+H100)/2</f>
        <v>85.1708390237103</v>
      </c>
      <c r="H100" s="109">
        <f>MAX(C100*Data!$C$4/Common_Shares,0)</f>
        <v>85.170839023710286</v>
      </c>
      <c r="I100" s="109">
        <f>MAX(I97-H98+H99,0)</f>
        <v>127.11664773393777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269873.71173268772</v>
      </c>
      <c r="D103" s="109">
        <f>MIN(F103*(1-C94),E103)</f>
        <v>24.752624826621659</v>
      </c>
      <c r="E103" s="123">
        <f>PV(C94,D93,0,-F94)</f>
        <v>29.120735090143128</v>
      </c>
      <c r="F103" s="109">
        <f>(E103+H103)/2</f>
        <v>29.120735090143128</v>
      </c>
      <c r="H103" s="123">
        <f>PV(C94,D93,0,-I94)</f>
        <v>29.120735090143128</v>
      </c>
      <c r="I103" s="109">
        <f>PV(C93,D93,0,-I94)</f>
        <v>39.771106986401499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529593.28173548507</v>
      </c>
      <c r="D106" s="109">
        <f>(D100+D103)/2</f>
        <v>48.573918998387704</v>
      </c>
      <c r="E106" s="123">
        <f>(E100+E103)/2</f>
        <v>57.145787056926714</v>
      </c>
      <c r="F106" s="109">
        <f>(F100+F103)/2</f>
        <v>57.145787056926714</v>
      </c>
      <c r="H106" s="123">
        <f>(H100+H103)/2</f>
        <v>57.145787056926707</v>
      </c>
      <c r="I106" s="123">
        <f>(I100+I103)/2</f>
        <v>83.443877360169637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