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FA75D11-BD82-41F1-B96B-4FA6A72AF5B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2" i="4" s="1"/>
  <c r="E91" i="4"/>
  <c r="E93" i="4" s="1"/>
  <c r="C72" i="4"/>
  <c r="C70" i="4"/>
  <c r="D69" i="4"/>
  <c r="D68" i="4"/>
  <c r="C68" i="4"/>
  <c r="D67" i="4"/>
  <c r="D62" i="4"/>
  <c r="D63" i="4" s="1"/>
  <c r="D61" i="4"/>
  <c r="C61" i="4"/>
  <c r="D60" i="4"/>
  <c r="C60" i="4"/>
  <c r="D59" i="4"/>
  <c r="D58" i="4"/>
  <c r="D71" i="4" s="1"/>
  <c r="D56" i="4"/>
  <c r="D55" i="4"/>
  <c r="C54" i="4"/>
  <c r="C52" i="4"/>
  <c r="D50" i="4"/>
  <c r="D53" i="4" s="1"/>
  <c r="C50" i="4"/>
  <c r="C48" i="4"/>
  <c r="D43" i="4"/>
  <c r="D35" i="4"/>
  <c r="D33" i="4"/>
  <c r="C33" i="4"/>
  <c r="D27" i="4"/>
  <c r="C27" i="4"/>
  <c r="M52" i="2"/>
  <c r="F96" i="4" l="1"/>
  <c r="E92" i="4"/>
  <c r="F97" i="4"/>
  <c r="F95" i="4"/>
  <c r="E95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7" i="3" l="1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<sst xmlns="http://schemas.openxmlformats.org/spreadsheetml/2006/main" count="391" uniqueCount="270">
  <si>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</si>
  <si>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</si>
  <si>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</si>
  <si>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</si>
  <si>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</si>
  <si>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</si>
  <si>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</si>
  <si>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</si>
  <si>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</si>
  <si>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</si>
  <si>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</si>
  <si>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</si>
  <si>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</si>
  <si>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</si>
  <si>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</si>
  <si>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</si>
  <si>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</si>
  <si>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</si>
  <si>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</si>
  <si>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</si>
  <si>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</si>
  <si>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</si>
  <si>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</si>
  <si>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</si>
  <si>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</si>
  <si>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</si>
  <si>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</si>
  <si>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</si>
  <si>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</si>
  <si>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</si>
  <si>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</si>
  <si>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</si>
  <si>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</si>
  <si>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</si>
  <si>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</si>
  <si>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</si>
  <si>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</si>
  <si>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</si>
  <si>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</si>
  <si>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</si>
  <si>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</si>
  <si>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</si>
  <si>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</si>
  <si>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</si>
  <si>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</si>
  <si>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</si>
  <si>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</si>
  <si>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</si>
  <si>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</si>
  <si>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</si>
  <si>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</si>
  <si>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</si>
  <si>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</si>
  <si>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</si>
  <si>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</si>
  <si>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</si>
  <si>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</si>
  <si>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</si>
  <si>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</si>
  <si>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</si>
  <si>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</si>
  <si>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</si>
  <si>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</si>
  <si>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</si>
  <si>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</si>
  <si>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</si>
  <si>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</si>
  <si>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</si>
  <si>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</si>
  <si>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</si>
  <si>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</si>
  <si>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</si>
  <si>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</si>
  <si>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</si>
  <si>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</si>
  <si>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</si>
  <si>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</si>
  <si>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</si>
  <si>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</si>
  <si>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</si>
  <si>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</si>
  <si>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</si>
  <si>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</si>
  <si>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</si>
  <si>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</si>
  <si>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</si>
  <si>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</si>
  <si>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</si>
  <si>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</si>
  <si>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</si>
  <si>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</si>
  <si>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</si>
  <si>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</si>
  <si>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</si>
  <si>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</si>
  <si>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</si>
  <si>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</si>
  <si>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</si>
  <si>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</si>
  <si>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</si>
  <si>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</si>
  <si>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</si>
  <si>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</si>
  <si>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</si>
  <si>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</si>
  <si>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</si>
  <si>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</si>
  <si>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</si>
  <si>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</si>
  <si>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</si>
  <si>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</si>
  <si>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</si>
  <si>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</si>
  <si>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</si>
  <si>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</si>
  <si>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</si>
  <si>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</si>
  <si>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</si>
  <si>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</si>
  <si>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</si>
  <si>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</si>
  <si>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</si>
  <si>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</si>
  <si>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</si>
  <si>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</si>
  <si>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</si>
  <si>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</si>
  <si>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</si>
  <si>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</si>
  <si>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</si>
  <si>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</si>
  <si>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</si>
  <si>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</si>
  <si>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</si>
  <si>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</si>
  <si>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</si>
  <si>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</si>
  <si>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</si>
  <si>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</si>
  <si>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</si>
  <si>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</si>
  <si>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</si>
  <si>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</si>
  <si>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</si>
  <si>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</si>
  <si>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</si>
  <si>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</si>
  <si>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</si>
  <si>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</si>
  <si>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</si>
  <si>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</si>
  <si>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</si>
  <si>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</si>
  <si>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</si>
  <si>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</si>
  <si>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</si>
  <si>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</si>
  <si>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</si>
  <si>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</si>
  <si>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</si>
  <si>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</si>
  <si>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</si>
  <si>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</si>
  <si>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</si>
  <si>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</si>
  <si>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</si>
  <si>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</si>
  <si>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</si>
  <si>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</si>
  <si>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</si>
  <si>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</si>
  <si>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</si>
  <si>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</si>
  <si>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</si>
  <si>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</si>
  <si>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</si>
  <si>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</si>
  <si>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</si>
  <si>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</si>
  <si>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</si>
  <si>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</si>
  <si>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</si>
  <si>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</si>
  <si>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</si>
  <si>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</si>
  <si>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</si>
  <si>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</si>
  <si>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</si>
  <si>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</si>
  <si>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</si>
  <si>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</si>
  <si>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</si>
  <si>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</si>
  <si>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</si>
  <si>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</si>
  <si>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</si>
  <si>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</si>
  <si>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</si>
  <si>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</si>
  <si>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</si>
  <si>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</si>
  <si>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</si>
  <si>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</si>
  <si>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</si>
  <si>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</si>
  <si>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</si>
  <si>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</si>
  <si>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</si>
  <si>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</si>
  <si>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</si>
  <si>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</si>
  <si>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</si>
  <si>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</si>
  <si>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</si>
  <si>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</si>
  <si>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</si>
  <si>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</si>
  <si>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</si>
  <si>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</si>
  <si>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</si>
  <si>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</si>
  <si>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</si>
  <si>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</si>
  <si>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</si>
  <si>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</si>
  <si>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</si>
  <si>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</si>
  <si>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</si>
  <si>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</si>
  <si>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</si>
  <si>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</si>
  <si>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</si>
  <si>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</si>
  <si>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</si>
  <si>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</si>
  <si>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</si>
  <si>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</si>
  <si>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</si>
  <si>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</si>
  <si>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</si>
  <si>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</si>
  <si>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</si>
  <si>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</si>
  <si>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</si>
  <si>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</si>
  <si>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</si>
  <si>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</si>
  <si>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</si>
  <si>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</si>
  <si>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</si>
  <si>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</si>
  <si>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</si>
  <si>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</si>
  <si>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</si>
  <si>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</si>
  <si>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</si>
  <si>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</si>
  <si>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</si>
  <si>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</si>
  <si>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</si>
  <si>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</si>
  <si>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</si>
  <si>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</si>
  <si>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</si>
  <si>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</si>
  <si>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0762.HK</t>
  </si>
  <si>
    <t>中国联通</t>
  </si>
  <si>
    <t>C0010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</si>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</sst>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0.73743481563190261</c:v>
                </c:pt>
                <c:pt idx="2">
                  <c:v>7.0138335341758879E-4</c:v>
                </c:pt>
                <c:pt idx="3">
                  <c:v>0</c:v>
                </c:pt>
                <c:pt idx="4">
                  <c:v>5.3167363129601151E-3</c:v>
                </c:pt>
                <c:pt idx="5">
                  <c:v>0.22719184534497058</c:v>
                </c:pt>
                <c:pt idx="6">
                  <c:v>2.9355219356749174E-2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30598124345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372597</v>
      </c>
      <c r="D25" s="149">
        <v>354944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0</v>
      </c>
      <c r="D26" s="150">
        <v>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11294+C29+60026+62939+36403+102123</f>
        <v>274766</v>
      </c>
      <c r="D27" s="150">
        <f>10947+D29+56425+60726+34720+92957</f>
        <v>256870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1981</v>
      </c>
      <c r="D29" s="150">
        <v>1095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196</v>
      </c>
      <c r="D30" s="150">
        <v>92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84847</v>
      </c>
      <c r="D32" s="150">
        <v>86829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C30</f>
        <v>196</v>
      </c>
      <c r="D33" s="150">
        <f>D30</f>
        <v>92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498104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f>54881+12342+1205</f>
        <v>68428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12026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558565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88107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1345985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4253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f>181715+185621+5628+55387+156018+32020+37213+141559</f>
        <v>795161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40818+132073</f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84342+15901+696</f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f>19344</f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263</v>
      </c>
      <c r="C54" s="59">
        <f>20726+8096</f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f>75495</f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6083+176712</f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680172+86890+14650</f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f>2319+31972</f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f>35301+44439</f>
        <v>79740</v>
      </c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372597</v>
      </c>
      <c r="D91" s="209"/>
      <c r="E91" s="251">
        <f>C91</f>
        <v>372597</v>
      </c>
      <c r="F91" s="251">
        <f>C91</f>
        <v>372597</v>
      </c>
    </row>
    <row r="92" spans="2:8" ht="13.9" x14ac:dyDescent="0.4">
      <c r="B92" s="104" t="s">
        <v>105</v>
      </c>
      <c r="C92" s="77">
        <f>C26</f>
        <v>0</v>
      </c>
      <c r="D92" s="159">
        <f>C92/C91</f>
        <v>0</v>
      </c>
      <c r="E92" s="252">
        <f>E91*D92</f>
        <v>0</v>
      </c>
      <c r="F92" s="252">
        <f>F91*D92</f>
        <v>0</v>
      </c>
    </row>
    <row r="93" spans="2:8" ht="13.9" x14ac:dyDescent="0.4">
      <c r="B93" s="104" t="s">
        <v>247</v>
      </c>
      <c r="C93" s="77">
        <f>C27+C28</f>
        <v>274766</v>
      </c>
      <c r="D93" s="159">
        <f>C93/C91</f>
        <v>0.73743481563190261</v>
      </c>
      <c r="E93" s="252">
        <f>E91*D93</f>
        <v>274766</v>
      </c>
      <c r="F93" s="252">
        <f>F91*D93</f>
        <v>274766</v>
      </c>
    </row>
    <row r="94" spans="2:8" ht="13.9" x14ac:dyDescent="0.4">
      <c r="B94" s="104" t="s">
        <v>257</v>
      </c>
      <c r="C94" s="77">
        <f>C29</f>
        <v>1981</v>
      </c>
      <c r="D94" s="159">
        <f>C94/C91</f>
        <v>5.3167363129601151E-3</v>
      </c>
      <c r="E94" s="253"/>
      <c r="F94" s="252">
        <f>F91*D94</f>
        <v>1981</v>
      </c>
    </row>
    <row r="95" spans="2:8" ht="13.9" x14ac:dyDescent="0.4">
      <c r="B95" s="28" t="s">
        <v>246</v>
      </c>
      <c r="C95" s="77">
        <f>ABS(MAX(C33,0)-C32)</f>
        <v>84651</v>
      </c>
      <c r="D95" s="159">
        <f>C95/C91</f>
        <v>0.22719184534497058</v>
      </c>
      <c r="E95" s="252">
        <f>E91*D95</f>
        <v>84651</v>
      </c>
      <c r="F95" s="252">
        <f>F91*D95</f>
        <v>84651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261.33333333333331</v>
      </c>
      <c r="D97" s="159">
        <f>C97/C91</f>
        <v>7.0138335341758879E-4</v>
      </c>
      <c r="E97" s="253"/>
      <c r="F97" s="252">
        <f>F91*D97</f>
        <v>261.33333333333331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0762.HK : 中国联通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0762.HK</v>
      </c>
      <c r="D3" s="278"/>
      <c r="E3" s="87"/>
      <c r="F3" s="3" t="s">
        <v>1</v>
      </c>
      <c r="G3" s="132">
        <v>6.79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中国联通</v>
      </c>
      <c r="D4" s="280"/>
      <c r="E4" s="87"/>
      <c r="F4" s="3" t="s">
        <v>2</v>
      </c>
      <c r="G4" s="283">
        <f>Inputs!C10</f>
        <v>30598124345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207761.26430255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C0010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0.73743481563190261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7.0138335341758879E-4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0.14026854986395715</v>
      </c>
    </row>
    <row r="24" spans="1:8" ht="15.75" customHeight="1" x14ac:dyDescent="0.4">
      <c r="B24" s="137" t="s">
        <v>170</v>
      </c>
      <c r="C24" s="171">
        <f>Fin_Analysis!I81</f>
        <v>5.3167363129601151E-3</v>
      </c>
      <c r="F24" s="140" t="s">
        <v>260</v>
      </c>
      <c r="G24" s="268">
        <f>G3/(Fin_Analysis!H86*G7)</f>
        <v>23.66297477605637</v>
      </c>
    </row>
    <row r="25" spans="1:8" ht="15.75" customHeight="1" x14ac:dyDescent="0.4">
      <c r="B25" s="137" t="s">
        <v>243</v>
      </c>
      <c r="C25" s="171">
        <f>Fin_Analysis!I82</f>
        <v>0.22719184534497058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2.9355219356749174E-2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2.3366245913244179</v>
      </c>
      <c r="D29" s="129">
        <f>G29*(1+G20)</f>
        <v>4.3811383675896334</v>
      </c>
      <c r="E29" s="87"/>
      <c r="F29" s="131">
        <f>IF(Fin_Analysis!C108="Profit",Fin_Analysis!F100,IF(Fin_Analysis!C108="Dividend",Fin_Analysis!F103,Fin_Analysis!F106))</f>
        <v>2.748970107440492</v>
      </c>
      <c r="G29" s="274">
        <f>IF(Fin_Analysis!C108="Profit",Fin_Analysis!I100,IF(Fin_Analysis!C108="Dividend",Fin_Analysis!I103,Fin_Analysis!I106))</f>
        <v>3.809685537034464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97569.666666666672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372597</v>
      </c>
      <c r="D6" s="200">
        <f>IF(Inputs!D25="","",Inputs!D25)</f>
        <v>354944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4.9734606022358463E-2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0</v>
      </c>
      <c r="D8" s="199">
        <f>IF(Inputs!D26="","",Inputs!D26)</f>
        <v>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372597</v>
      </c>
      <c r="D9" s="151">
        <f t="shared" si="2"/>
        <v>354944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274766</v>
      </c>
      <c r="D10" s="199">
        <f>IF(Inputs!D27="","",Inputs!D27)</f>
        <v>256870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261.33333333333331</v>
      </c>
      <c r="D12" s="199">
        <f>IF(Inputs!D30="","",MAX(Inputs!D30,0)/(1-Fin_Analysis!$I$84))</f>
        <v>122.66666666666667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0.26186380101467988</v>
      </c>
      <c r="D13" s="229">
        <f t="shared" si="3"/>
        <v>0.27596278098329124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97569.666666666672</v>
      </c>
      <c r="D14" s="230">
        <f t="shared" ref="D14:M14" si="4">IF(D6="","",D9-D10-MAX(D11,0)-MAX(D12,0))</f>
        <v>97951.333333333328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-3.8964928161603074E-3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1981</v>
      </c>
      <c r="D17" s="199">
        <f>IF(Inputs!D29="","",Inputs!D29)</f>
        <v>1095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0.22771788286003378</v>
      </c>
      <c r="D18" s="152">
        <f t="shared" si="6"/>
        <v>0.2446273214929679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84847</v>
      </c>
      <c r="D19" s="199">
        <f>IF(Inputs!D32="","",Inputs!D32)</f>
        <v>86829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5.2603751506319157E-4</v>
      </c>
      <c r="D20" s="152">
        <f t="shared" si="7"/>
        <v>2.5919581680490446E-4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196</v>
      </c>
      <c r="D21" s="199">
        <f>IF(Inputs!D33="","",Inputs!D33)</f>
        <v>92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10937.666666666672</v>
      </c>
      <c r="D22" s="161">
        <f t="shared" ref="D22:M22" si="8">IF(D6="","",D14-MAX(D16,0)-MAX(D17,0)-ABS(MAX(D21,0)-MAX(D19,0)))</f>
        <v>10119.333333333328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2.201641451756188E-2</v>
      </c>
      <c r="D23" s="153">
        <f t="shared" si="9"/>
        <v>2.1382246213487187E-2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8203.2500000000036</v>
      </c>
      <c r="D24" s="77">
        <f>IF(D6="","",D22*(1-Fin_Analysis!$I$84))</f>
        <v>7589.4999999999964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8.0868304894921611E-2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199">
        <f>IF(Inputs!D34="","",Inputs!D34)</f>
        <v>498104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199">
        <f>IF(Inputs!D35="","",Inputs!D35)</f>
        <v>68428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199">
        <f>IF(Inputs!D36="","",Inputs!D36)</f>
        <v>12026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199">
        <f>IF(Inputs!D37="","",Inputs!D37)</f>
        <v>558565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199">
        <f>IF(Inputs!D38="","",Inputs!D38)</f>
        <v>88107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199">
        <f>IF(Inputs!D41="","",Inputs!D41)</f>
        <v>1345985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199">
        <f>IF(Inputs!D42="","",Inputs!D42)</f>
        <v>4253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199">
        <f>IF(Inputs!D43="","",Inputs!D43)</f>
        <v>795161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8.1030660594121687E-2</v>
      </c>
      <c r="D40" s="155">
        <f>IF(D6="","",D14/MAX(D39,0))</f>
        <v>8.1796793754077946E-2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</v>
      </c>
      <c r="D42" s="156">
        <f t="shared" si="34"/>
        <v>0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0.73743481563190261</v>
      </c>
      <c r="D43" s="153">
        <f t="shared" si="35"/>
        <v>0.72369162459430225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5.3167363129601151E-3</v>
      </c>
      <c r="D45" s="153">
        <f t="shared" si="37"/>
        <v>3.0849936891453301E-3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7.0138335341758879E-4</v>
      </c>
      <c r="D46" s="153">
        <f t="shared" ref="D46:M46" si="38">IF(D6="","",MAX(D12,0)/D6)</f>
        <v>3.4559442240653928E-4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0.22719184534497058</v>
      </c>
      <c r="D47" s="153">
        <f t="shared" ref="D47:M47" si="39">IF(D6="","",ABS(MAX(D21,0)-MAX(D19,0))/D6)</f>
        <v>0.24436812567616301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2.9355219356749174E-2</v>
      </c>
      <c r="D48" s="153">
        <f t="shared" si="40"/>
        <v>2.8509661617982917E-2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0.27090663639267087</v>
      </c>
      <c r="D50" s="156">
        <f t="shared" si="41"/>
        <v>0.19278534078615217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3.3859639234883804E-2</v>
      </c>
      <c r="D51" s="153">
        <f t="shared" si="42"/>
        <v>3.3881401009736745E-2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0.31546091797268211</v>
      </c>
      <c r="D54" s="156">
        <f t="shared" ref="D54:M54" si="44">IF(D36="","",(D27-D36)/D27)</f>
        <v>0.32452750272625946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0.11432702693285954</v>
      </c>
      <c r="D55" s="157">
        <f t="shared" si="45"/>
        <v>9.8308948776238456E-2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0.18111724011824573</v>
      </c>
      <c r="D56" s="153">
        <f t="shared" si="46"/>
        <v>0.10820870940114637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0.96378562214143304</v>
      </c>
      <c r="D57" s="158">
        <f t="shared" si="47"/>
        <v>0.89175655474295745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-25340.803091615464</v>
      </c>
      <c r="E6" s="56">
        <f>1-D6/D3</f>
        <v>1.0183115620709875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8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8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8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8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8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8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8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8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6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8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8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8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8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8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8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8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7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</v>
      </c>
      <c r="E53" s="88">
        <f>IF(C53=0,0,MAX(C53,C53*Dashboard!G23))</f>
        <v>4325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95670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372597</v>
      </c>
      <c r="D74" s="209"/>
      <c r="E74" s="238">
        <f>Inputs!E91</f>
        <v>372597</v>
      </c>
      <c r="F74" s="209"/>
      <c r="H74" s="238">
        <f>Inputs!F91</f>
        <v>372597</v>
      </c>
      <c r="I74" s="209"/>
      <c r="K74" s="24"/>
    </row>
    <row r="75" spans="1:11" ht="15" customHeight="1" x14ac:dyDescent="0.4">
      <c r="B75" s="104" t="s">
        <v>105</v>
      </c>
      <c r="C75" s="77">
        <f>Data!C8</f>
        <v>0</v>
      </c>
      <c r="D75" s="159">
        <f>C75/$C$74</f>
        <v>0</v>
      </c>
      <c r="E75" s="238">
        <f>Inputs!E92</f>
        <v>0</v>
      </c>
      <c r="F75" s="160">
        <f>E75/E74</f>
        <v>0</v>
      </c>
      <c r="H75" s="238">
        <f>Inputs!F92</f>
        <v>0</v>
      </c>
      <c r="I75" s="160">
        <f>H75/$H$74</f>
        <v>0</v>
      </c>
      <c r="K75" s="24"/>
    </row>
    <row r="76" spans="1:11" ht="15" customHeight="1" x14ac:dyDescent="0.4">
      <c r="B76" s="35" t="s">
        <v>95</v>
      </c>
      <c r="C76" s="161">
        <f>C74-C75</f>
        <v>372597</v>
      </c>
      <c r="D76" s="210"/>
      <c r="E76" s="162">
        <f>E74-E75</f>
        <v>372597</v>
      </c>
      <c r="F76" s="210"/>
      <c r="H76" s="162">
        <f>H74-H75</f>
        <v>372597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274766</v>
      </c>
      <c r="D77" s="159">
        <f>C77/$C$74</f>
        <v>0.73743481563190261</v>
      </c>
      <c r="E77" s="238">
        <f>Inputs!E93</f>
        <v>274766</v>
      </c>
      <c r="F77" s="160">
        <f>E77/E74</f>
        <v>0.73743481563190261</v>
      </c>
      <c r="H77" s="238">
        <f>Inputs!F93</f>
        <v>274766</v>
      </c>
      <c r="I77" s="160">
        <f>H77/$H$74</f>
        <v>0.73743481563190261</v>
      </c>
      <c r="K77" s="24"/>
    </row>
    <row r="78" spans="1:11" ht="15" customHeight="1" x14ac:dyDescent="0.4">
      <c r="B78" s="73" t="s">
        <v>172</v>
      </c>
      <c r="C78" s="77">
        <f>MAX(Data!C12,0)</f>
        <v>261.33333333333331</v>
      </c>
      <c r="D78" s="159">
        <f>C78/$C$74</f>
        <v>7.0138335341758879E-4</v>
      </c>
      <c r="E78" s="180">
        <f>E74*F78</f>
        <v>261.33333333333331</v>
      </c>
      <c r="F78" s="160">
        <f>I78</f>
        <v>7.0138335341758879E-4</v>
      </c>
      <c r="H78" s="238">
        <f>Inputs!F97</f>
        <v>261.33333333333331</v>
      </c>
      <c r="I78" s="160">
        <f>H78/$H$74</f>
        <v>7.0138335341758879E-4</v>
      </c>
      <c r="K78" s="24"/>
    </row>
    <row r="79" spans="1:11" ht="15" customHeight="1" x14ac:dyDescent="0.4">
      <c r="B79" s="256" t="s">
        <v>232</v>
      </c>
      <c r="C79" s="257">
        <f>C76-C77-C78</f>
        <v>97569.666666666672</v>
      </c>
      <c r="D79" s="258">
        <f>C79/C74</f>
        <v>0.26186380101467988</v>
      </c>
      <c r="E79" s="259">
        <f>E76-E77-E78</f>
        <v>97569.666666666672</v>
      </c>
      <c r="F79" s="258">
        <f>E79/E74</f>
        <v>0.26186380101467988</v>
      </c>
      <c r="G79" s="260"/>
      <c r="H79" s="259">
        <f>H76-H77-H78</f>
        <v>97569.666666666672</v>
      </c>
      <c r="I79" s="258">
        <f>H79/H74</f>
        <v>0.26186380101467988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1981</v>
      </c>
      <c r="D81" s="159">
        <f>C81/$C$74</f>
        <v>5.3167363129601151E-3</v>
      </c>
      <c r="E81" s="180">
        <f>E74*F81</f>
        <v>1981</v>
      </c>
      <c r="F81" s="160">
        <f>I81</f>
        <v>5.3167363129601151E-3</v>
      </c>
      <c r="H81" s="238">
        <f>Inputs!F94</f>
        <v>1981</v>
      </c>
      <c r="I81" s="160">
        <f>H81/$H$74</f>
        <v>5.3167363129601151E-3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84651</v>
      </c>
      <c r="D82" s="159">
        <f>C82/$C$74</f>
        <v>0.22719184534497058</v>
      </c>
      <c r="E82" s="238">
        <f>Inputs!E95</f>
        <v>84651</v>
      </c>
      <c r="F82" s="160">
        <f>E82/E74</f>
        <v>0.22719184534497058</v>
      </c>
      <c r="H82" s="238">
        <f>Inputs!F95</f>
        <v>84651</v>
      </c>
      <c r="I82" s="160">
        <f>H82/$H$74</f>
        <v>0.22719184534497058</v>
      </c>
      <c r="K82" s="24"/>
    </row>
    <row r="83" spans="1:11" ht="15" customHeight="1" thickBot="1" x14ac:dyDescent="0.45">
      <c r="B83" s="105" t="s">
        <v>125</v>
      </c>
      <c r="C83" s="163">
        <f>C79-C81-C82-C80</f>
        <v>10937.666666666672</v>
      </c>
      <c r="D83" s="164">
        <f>C83/$C$74</f>
        <v>2.9355219356749174E-2</v>
      </c>
      <c r="E83" s="165">
        <f>E79-E81-E82-E80</f>
        <v>10937.666666666672</v>
      </c>
      <c r="F83" s="164">
        <f>E83/E74</f>
        <v>2.9355219356749174E-2</v>
      </c>
      <c r="H83" s="165">
        <f>H79-H81-H82-H80</f>
        <v>10937.666666666672</v>
      </c>
      <c r="I83" s="164">
        <f>H83/$H$74</f>
        <v>2.9355219356749174E-2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8203.2500000000036</v>
      </c>
      <c r="D85" s="258">
        <f>C85/$C$74</f>
        <v>2.201641451756188E-2</v>
      </c>
      <c r="E85" s="264">
        <f>E83*(1-F84)</f>
        <v>8203.2500000000036</v>
      </c>
      <c r="F85" s="258">
        <f>E85/E74</f>
        <v>2.201641451756188E-2</v>
      </c>
      <c r="G85" s="260"/>
      <c r="H85" s="264">
        <f>H83*(1-I84)</f>
        <v>8203.2500000000036</v>
      </c>
      <c r="I85" s="258">
        <f>H85/$H$74</f>
        <v>2.201641451756188E-2</v>
      </c>
      <c r="K85" s="24"/>
    </row>
    <row r="86" spans="1:11" ht="15" customHeight="1" x14ac:dyDescent="0.4">
      <c r="B86" s="87" t="s">
        <v>160</v>
      </c>
      <c r="C86" s="167">
        <f>C85*Data!C4/Common_Shares</f>
        <v>0.26809649857967477</v>
      </c>
      <c r="D86" s="209"/>
      <c r="E86" s="168">
        <f>E85*Data!C4/Common_Shares</f>
        <v>0.26809649857967477</v>
      </c>
      <c r="F86" s="209"/>
      <c r="H86" s="168">
        <f>H85*Data!C4/Common_Shares</f>
        <v>0.26809649857967477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4.2260113509137512E-2</v>
      </c>
      <c r="D87" s="209"/>
      <c r="E87" s="262">
        <f>E86*Exchange_Rate/Dashboard!G3</f>
        <v>4.2260113509137512E-2</v>
      </c>
      <c r="F87" s="209"/>
      <c r="H87" s="262">
        <f>H86*Exchange_Rate/Dashboard!G3</f>
        <v>4.2260113509137512E-2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5.8334522689805395</v>
      </c>
      <c r="H93" s="87" t="s">
        <v>209</v>
      </c>
      <c r="I93" s="144">
        <f>FV(H87,D93,0,-(H86/(C93-D94)))*Exchange_Rate</f>
        <v>5.8334522689805395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88742.416809987393</v>
      </c>
      <c r="D97" s="213"/>
      <c r="E97" s="123">
        <f>PV(C94,D93,0,-F93)</f>
        <v>2.9002567546101461</v>
      </c>
      <c r="F97" s="213"/>
      <c r="H97" s="123">
        <f>PV(C94,D93,0,-I93)</f>
        <v>2.9002567546101461</v>
      </c>
      <c r="I97" s="123">
        <f>PV(C93,D93,0,-I93)</f>
        <v>3.9609721842041181</v>
      </c>
      <c r="K97" s="24"/>
    </row>
    <row r="98" spans="2:11" ht="15" customHeight="1" x14ac:dyDescent="0.4">
      <c r="B98" s="28" t="s">
        <v>144</v>
      </c>
      <c r="C98" s="91">
        <f>E53*Exchange_Rate</f>
        <v>4629.0876418352127</v>
      </c>
      <c r="D98" s="213"/>
      <c r="E98" s="213"/>
      <c r="F98" s="213"/>
      <c r="H98" s="123">
        <f>C98*Data!$C$4/Common_Shares</f>
        <v>0.1512866471696539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84113.329168152181</v>
      </c>
      <c r="D100" s="109">
        <f>MIN(F100*(1-C94),E100)</f>
        <v>2.3366245913244179</v>
      </c>
      <c r="E100" s="109">
        <f>MAX(E97-H98+E99,0)</f>
        <v>2.748970107440492</v>
      </c>
      <c r="F100" s="109">
        <f>(E100+H100)/2</f>
        <v>2.748970107440492</v>
      </c>
      <c r="H100" s="109">
        <f>MAX(C100*Data!$C$4/Common_Shares,0)</f>
        <v>2.7489701074404915</v>
      </c>
      <c r="I100" s="109">
        <f>MAX(I97-H98+H99,0)</f>
        <v>3.809685537034464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42056.66458407609</v>
      </c>
      <c r="D106" s="109">
        <f>(D100+D103)/2</f>
        <v>1.168312295662209</v>
      </c>
      <c r="E106" s="123">
        <f>(E100+E103)/2</f>
        <v>1.374485053720246</v>
      </c>
      <c r="F106" s="109">
        <f>(F100+F103)/2</f>
        <v>1.374485053720246</v>
      </c>
      <c r="H106" s="123">
        <f>(H100+H103)/2</f>
        <v>1.3744850537202458</v>
      </c>
      <c r="I106" s="123">
        <f>(I100+I103)/2</f>
        <v>1.904842768517232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