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385BAB0-AC73-4FC7-AB20-8D20268FBD7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5" i="4"/>
  <c r="E92" i="4"/>
  <c r="F92" i="4"/>
  <c r="F93" i="4"/>
  <c r="F94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<sst xmlns="http://schemas.openxmlformats.org/spreadsheetml/2006/main" count="390" uniqueCount="266">
  <si>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</si>
  <si>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</si>
  <si>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</si>
  <si>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</si>
  <si>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</si>
  <si>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</si>
  <si>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</si>
  <si>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</si>
  <si>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</si>
  <si>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</si>
  <si>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</si>
  <si>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</si>
  <si>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</si>
  <si>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</si>
  <si>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</si>
  <si>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</si>
  <si>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</si>
  <si>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</si>
  <si>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</si>
  <si>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</si>
  <si>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</si>
  <si>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</si>
  <si>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</si>
  <si>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</si>
  <si>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</si>
  <si>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</si>
  <si>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</si>
  <si>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</si>
  <si>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</si>
  <si>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</si>
  <si>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</si>
  <si>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</si>
  <si>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</si>
  <si>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</si>
  <si>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</si>
  <si>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</si>
  <si>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</si>
  <si>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</si>
  <si>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</si>
  <si>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</si>
  <si>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</si>
  <si>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</si>
  <si>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</si>
  <si>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</si>
  <si>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</si>
  <si>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</si>
  <si>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</si>
  <si>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</si>
  <si>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</si>
  <si>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</si>
  <si>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</si>
  <si>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</si>
  <si>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</si>
  <si>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</si>
  <si>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</si>
  <si>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</si>
  <si>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</si>
  <si>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</si>
  <si>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</si>
  <si>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</si>
  <si>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</si>
  <si>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</si>
  <si>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</si>
  <si>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</si>
  <si>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</si>
  <si>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</si>
  <si>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</si>
  <si>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</si>
  <si>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</si>
  <si>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</si>
  <si>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</si>
  <si>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</si>
  <si>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</si>
  <si>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</si>
  <si>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</si>
  <si>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</si>
  <si>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</si>
  <si>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</si>
  <si>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</si>
  <si>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</si>
  <si>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</si>
  <si>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</si>
  <si>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</si>
  <si>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</si>
  <si>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</si>
  <si>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</si>
  <si>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</si>
  <si>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</si>
  <si>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</si>
  <si>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</si>
  <si>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</si>
  <si>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</si>
  <si>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</si>
  <si>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</si>
  <si>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</si>
  <si>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</si>
  <si>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</si>
  <si>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</si>
  <si>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</si>
  <si>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</si>
  <si>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</si>
  <si>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</si>
  <si>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</si>
  <si>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</si>
  <si>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</si>
  <si>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</si>
  <si>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</si>
  <si>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</si>
  <si>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</si>
  <si>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</si>
  <si>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</si>
  <si>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</si>
  <si>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</si>
  <si>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</si>
  <si>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</si>
  <si>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</si>
  <si>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</si>
  <si>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</si>
  <si>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</si>
  <si>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</si>
  <si>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</si>
  <si>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</si>
  <si>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</si>
  <si>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</si>
  <si>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</si>
  <si>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</si>
  <si>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</si>
  <si>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</si>
  <si>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</si>
  <si>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</si>
  <si>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</si>
  <si>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</si>
  <si>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</si>
  <si>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</si>
  <si>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</si>
  <si>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</si>
  <si>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</si>
  <si>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</si>
  <si>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</si>
  <si>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</si>
  <si>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</si>
  <si>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</si>
  <si>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</si>
  <si>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</si>
  <si>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</si>
  <si>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</si>
  <si>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</si>
  <si>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</si>
  <si>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</si>
  <si>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</si>
  <si>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</si>
  <si>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</si>
  <si>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</si>
  <si>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</si>
  <si>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</si>
  <si>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</si>
  <si>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</si>
  <si>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</si>
  <si>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</si>
  <si>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</si>
  <si>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</si>
  <si>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</si>
  <si>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</si>
  <si>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</si>
  <si>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</si>
  <si>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</si>
  <si>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</si>
  <si>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</si>
  <si>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</si>
  <si>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</si>
  <si>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</si>
  <si>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</si>
  <si>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</si>
  <si>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</si>
  <si>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</si>
  <si>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</si>
  <si>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</si>
  <si>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</si>
  <si>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</si>
  <si>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</si>
  <si>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</si>
  <si>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</si>
  <si>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</si>
  <si>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</si>
  <si>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</si>
  <si>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</si>
  <si>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</si>
  <si>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</si>
  <si>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</si>
  <si>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</si>
  <si>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</si>
  <si>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</si>
  <si>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</si>
  <si>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</si>
  <si>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</si>
  <si>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</si>
  <si>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</si>
  <si>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</si>
  <si>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</si>
  <si>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</si>
  <si>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</si>
  <si>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</si>
  <si>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</si>
  <si>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</si>
  <si>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</si>
  <si>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</si>
  <si>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</si>
  <si>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</si>
  <si>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</si>
  <si>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</si>
  <si>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</si>
  <si>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</si>
  <si>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</si>
  <si>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</si>
  <si>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</si>
  <si>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</si>
  <si>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</si>
  <si>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</si>
  <si>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</si>
  <si>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</si>
  <si>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</si>
  <si>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</si>
  <si>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</si>
  <si>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</si>
  <si>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</si>
  <si>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</si>
  <si>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</si>
  <si>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</si>
  <si>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</si>
  <si>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</si>
  <si>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</si>
  <si>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</si>
  <si>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</si>
  <si>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</si>
  <si>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</si>
  <si>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</si>
  <si>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</si>
  <si>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</si>
  <si>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</si>
  <si>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</si>
  <si>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</si>
  <si>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</si>
  <si>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</si>
  <si>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</si>
  <si>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</si>
  <si>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</si>
  <si>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</si>
  <si>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</si>
  <si>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</si>
  <si>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</si>
  <si>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</si>
  <si>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</si>
  <si>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</si>
  <si>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</si>
  <si>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</si>
  <si>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</si>
  <si>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</si>
  <si>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</si>
  <si>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</si>
  <si>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0011.HK</t>
  </si>
  <si>
    <t>恒生銀行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</si>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</sst>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1882267536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262</v>
      </c>
      <c r="D18" s="24"/>
    </row>
    <row r="19" spans="2:13" ht="13.9" x14ac:dyDescent="0.4">
      <c r="B19" s="241" t="s">
        <v>240</v>
      </c>
      <c r="C19" s="243" t="s">
        <v>262</v>
      </c>
      <c r="D19" s="24"/>
    </row>
    <row r="20" spans="2:13" ht="13.9" x14ac:dyDescent="0.4">
      <c r="B20" s="242" t="s">
        <v>229</v>
      </c>
      <c r="C20" s="243" t="s">
        <v>262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69317</v>
      </c>
      <c r="D25" s="150">
        <v>43948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2909</v>
      </c>
      <c r="D26" s="151">
        <v>2280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14624</v>
      </c>
      <c r="D27" s="151">
        <v>13795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27144</v>
      </c>
      <c r="D29" s="151">
        <v>9231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-10</v>
      </c>
      <c r="D30" s="151">
        <v>-14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3.2+1.2*3</f>
        <v>6.8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7.0796460176991149E-2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264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69317</v>
      </c>
      <c r="D91" s="210"/>
      <c r="E91" s="252">
        <f>C91</f>
        <v>69317</v>
      </c>
      <c r="F91" s="252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60">
        <f>C92/C91</f>
        <v>4.1966617135767562E-2</v>
      </c>
      <c r="E92" s="253">
        <f>E91*D92</f>
        <v>2909</v>
      </c>
      <c r="F92" s="253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60">
        <f>C93/C91</f>
        <v>0.2109727772407923</v>
      </c>
      <c r="E93" s="253">
        <f>E91*D93</f>
        <v>14624</v>
      </c>
      <c r="F93" s="253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60">
        <f>C94/C91</f>
        <v>0.39159225009737869</v>
      </c>
      <c r="E94" s="254"/>
      <c r="F94" s="253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6.8</v>
      </c>
      <c r="D98" s="267"/>
      <c r="E98" s="255">
        <f>F98</f>
        <v>6.8</v>
      </c>
      <c r="F98" s="255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0011.HK</v>
      </c>
      <c r="D3" s="277"/>
      <c r="E3" s="87"/>
      <c r="F3" s="3" t="s">
        <v>1</v>
      </c>
      <c r="G3" s="132">
        <v>96.05</v>
      </c>
      <c r="H3" s="134" t="s">
        <v>265</v>
      </c>
    </row>
    <row r="4" spans="1:10" ht="15.75" customHeight="1" x14ac:dyDescent="0.4">
      <c r="B4" s="35" t="s">
        <v>196</v>
      </c>
      <c r="C4" s="278" t="str">
        <f>Inputs!C5</f>
        <v>恒生銀行</v>
      </c>
      <c r="D4" s="279"/>
      <c r="E4" s="87"/>
      <c r="F4" s="3" t="s">
        <v>3</v>
      </c>
      <c r="G4" s="282">
        <f>Inputs!C10</f>
        <v>1882267536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45606</v>
      </c>
      <c r="D5" s="281"/>
      <c r="E5" s="34"/>
      <c r="F5" s="35" t="s">
        <v>100</v>
      </c>
      <c r="G5" s="274">
        <f>G3*G4/1000000</f>
        <v>180791.7968328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4.1966617135767562E-2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0.39159225009737869</v>
      </c>
      <c r="F24" s="140" t="s">
        <v>258</v>
      </c>
      <c r="G24" s="269">
        <f>G3/(Fin_Analysis!H86*G7)</f>
        <v>9.5912802835497839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0.67902869264069265</v>
      </c>
    </row>
    <row r="26" spans="1:8" ht="15.75" customHeight="1" x14ac:dyDescent="0.4">
      <c r="B26" s="138" t="s">
        <v>174</v>
      </c>
      <c r="C26" s="172">
        <f>Fin_Analysis!I83</f>
        <v>0.35546835552606143</v>
      </c>
      <c r="F26" s="141" t="s">
        <v>194</v>
      </c>
      <c r="G26" s="179">
        <f>Fin_Analysis!H88*Exchange_Rate/G3</f>
        <v>7.0796460176991149E-2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61.295604901227591</v>
      </c>
      <c r="D29" s="129">
        <f>G29*(1+G20)</f>
        <v>121.17455352974527</v>
      </c>
      <c r="E29" s="87"/>
      <c r="F29" s="131">
        <f>IF(Fin_Analysis!C108="Profit",Fin_Analysis!F100,IF(Fin_Analysis!C108="Dividend",Fin_Analysis!F103,Fin_Analysis!F106))</f>
        <v>72.112476354385407</v>
      </c>
      <c r="G29" s="273">
        <f>IF(Fin_Analysis!C108="Profit",Fin_Analysis!I100,IF(Fin_Analysis!C108="Dividend",Fin_Analysis!I103,Fin_Analysis!I106))</f>
        <v>105.3691769823872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69317</v>
      </c>
      <c r="D6" s="201">
        <f>IF(Inputs!D25="","",Inputs!D25)</f>
        <v>43948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2909</v>
      </c>
      <c r="D8" s="200">
        <f>IF(Inputs!D26="","",Inputs!D26)</f>
        <v>2280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66408</v>
      </c>
      <c r="D9" s="152">
        <f t="shared" si="2"/>
        <v>41668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14624</v>
      </c>
      <c r="D10" s="200">
        <f>IF(Inputs!D27="","",Inputs!D27)</f>
        <v>13795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0.74706060562344012</v>
      </c>
      <c r="D13" s="230">
        <f t="shared" si="3"/>
        <v>0.63422681350687171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51784</v>
      </c>
      <c r="D14" s="231">
        <f t="shared" ref="D14:M14" si="4">IF(D6="","",D9-D10-MAX(D11,0)-MAX(D12,0))</f>
        <v>27873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0.85785527212714818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27144</v>
      </c>
      <c r="D17" s="200">
        <f>IF(Inputs!D29="","",Inputs!D29)</f>
        <v>9231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24640</v>
      </c>
      <c r="D22" s="162">
        <f t="shared" ref="D22:M22" si="8">IF(D6="","",D14-MAX(D16,0)-MAX(D17,0)-ABS(MAX(D21,0)-MAX(D19,0)))</f>
        <v>18642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0.27193329197743699</v>
      </c>
      <c r="D23" s="154">
        <f t="shared" si="9"/>
        <v>0.32450009101665606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0.3217465937131207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4.1966617135767562E-2</v>
      </c>
      <c r="D42" s="157">
        <f t="shared" si="34"/>
        <v>5.1879493947392372E-2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0.2109727772407923</v>
      </c>
      <c r="D43" s="154">
        <f t="shared" si="35"/>
        <v>0.31389369254573585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0.39159225009737869</v>
      </c>
      <c r="D45" s="154">
        <f t="shared" si="37"/>
        <v>0.21004368799490306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0.35546835552606143</v>
      </c>
      <c r="D48" s="154">
        <f t="shared" si="40"/>
        <v>0.42418312551196868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1.1016233766233767</v>
      </c>
      <c r="D55" s="154">
        <f t="shared" si="45"/>
        <v>0.49517219182491151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69317</v>
      </c>
      <c r="D74" s="210"/>
      <c r="E74" s="239">
        <f>Inputs!E91</f>
        <v>69317</v>
      </c>
      <c r="F74" s="210"/>
      <c r="H74" s="239">
        <f>Inputs!F91</f>
        <v>69317</v>
      </c>
      <c r="I74" s="210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60">
        <f>C75/$C$74</f>
        <v>4.1966617135767562E-2</v>
      </c>
      <c r="E75" s="239">
        <f>Inputs!E92</f>
        <v>2909</v>
      </c>
      <c r="F75" s="161">
        <f>E75/E74</f>
        <v>4.1966617135767562E-2</v>
      </c>
      <c r="H75" s="239">
        <f>Inputs!F92</f>
        <v>2909</v>
      </c>
      <c r="I75" s="161">
        <f>H75/$H$74</f>
        <v>4.1966617135767562E-2</v>
      </c>
      <c r="K75" s="24"/>
    </row>
    <row r="76" spans="1:11" ht="15" customHeight="1" x14ac:dyDescent="0.4">
      <c r="B76" s="35" t="s">
        <v>96</v>
      </c>
      <c r="C76" s="162">
        <f>C74-C75</f>
        <v>66408</v>
      </c>
      <c r="D76" s="211"/>
      <c r="E76" s="163">
        <f>E74-E75</f>
        <v>66408</v>
      </c>
      <c r="F76" s="211"/>
      <c r="H76" s="163">
        <f>H74-H75</f>
        <v>66408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60">
        <f>C77/$C$74</f>
        <v>0.2109727772407923</v>
      </c>
      <c r="E77" s="239">
        <f>Inputs!E93</f>
        <v>14624</v>
      </c>
      <c r="F77" s="161">
        <f>E77/E74</f>
        <v>0.2109727772407923</v>
      </c>
      <c r="H77" s="239">
        <f>Inputs!F93</f>
        <v>14624</v>
      </c>
      <c r="I77" s="161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51784</v>
      </c>
      <c r="D79" s="259">
        <f>C79/C74</f>
        <v>0.74706060562344012</v>
      </c>
      <c r="E79" s="260">
        <f>E76-E77-E78</f>
        <v>51784</v>
      </c>
      <c r="F79" s="259">
        <f>E79/E74</f>
        <v>0.74706060562344012</v>
      </c>
      <c r="G79" s="261"/>
      <c r="H79" s="260">
        <f>H76-H77-H78</f>
        <v>51784</v>
      </c>
      <c r="I79" s="259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60">
        <f>C81/$C$74</f>
        <v>0.39159225009737869</v>
      </c>
      <c r="E81" s="181">
        <f>E74*F81</f>
        <v>27144</v>
      </c>
      <c r="F81" s="161">
        <f>I81</f>
        <v>0.39159225009737869</v>
      </c>
      <c r="H81" s="239">
        <f>Inputs!F94</f>
        <v>27144</v>
      </c>
      <c r="I81" s="161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24640</v>
      </c>
      <c r="D83" s="165">
        <f>C83/$C$74</f>
        <v>0.35546835552606143</v>
      </c>
      <c r="E83" s="166">
        <f>E79-E81-E82-E80</f>
        <v>24640</v>
      </c>
      <c r="F83" s="165">
        <f>E83/E74</f>
        <v>0.35546835552606143</v>
      </c>
      <c r="H83" s="166">
        <f>H79-H81-H82-H80</f>
        <v>24640</v>
      </c>
      <c r="I83" s="165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18849.599999999999</v>
      </c>
      <c r="D85" s="259">
        <f>C85/$C$74</f>
        <v>0.27193329197743699</v>
      </c>
      <c r="E85" s="265">
        <f>E83*(1-F84)</f>
        <v>18849.599999999999</v>
      </c>
      <c r="F85" s="259">
        <f>E85/E74</f>
        <v>0.27193329197743699</v>
      </c>
      <c r="G85" s="261"/>
      <c r="H85" s="265">
        <f>H83*(1-I84)</f>
        <v>18849.599999999999</v>
      </c>
      <c r="I85" s="259">
        <f>H85/$H$74</f>
        <v>0.27193329197743699</v>
      </c>
      <c r="K85" s="24"/>
    </row>
    <row r="86" spans="1:11" ht="15" customHeight="1" x14ac:dyDescent="0.4">
      <c r="B86" s="87" t="s">
        <v>161</v>
      </c>
      <c r="C86" s="168">
        <f>C85*Data!C4/Common_Shares</f>
        <v>10.014304364010451</v>
      </c>
      <c r="D86" s="210"/>
      <c r="E86" s="169">
        <f>E85*Data!C4/Common_Shares</f>
        <v>10.014304364010451</v>
      </c>
      <c r="F86" s="210"/>
      <c r="H86" s="169">
        <f>H85*Data!C4/Common_Shares</f>
        <v>10.014304364010451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0.1042613676627845</v>
      </c>
      <c r="D87" s="210"/>
      <c r="E87" s="263">
        <f>E86*Exchange_Rate/Dashboard!G3</f>
        <v>0.1042613676627845</v>
      </c>
      <c r="F87" s="210"/>
      <c r="H87" s="263">
        <f>H86*Exchange_Rate/Dashboard!G3</f>
        <v>0.1042613676627845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6.8</v>
      </c>
      <c r="D88" s="167">
        <f>C88/C86</f>
        <v>0.67902869264069265</v>
      </c>
      <c r="E88" s="171">
        <f>Inputs!E98</f>
        <v>6.8</v>
      </c>
      <c r="F88" s="167">
        <f>E88/E86</f>
        <v>0.67902869264069265</v>
      </c>
      <c r="H88" s="171">
        <f>Inputs!F98</f>
        <v>6.8</v>
      </c>
      <c r="I88" s="167">
        <f>H88/H86</f>
        <v>0.67902869264069265</v>
      </c>
      <c r="K88" s="24"/>
    </row>
    <row r="89" spans="1:11" ht="15" customHeight="1" x14ac:dyDescent="0.4">
      <c r="B89" s="87" t="s">
        <v>222</v>
      </c>
      <c r="C89" s="262">
        <f>C88*Exchange_Rate/Dashboard!G3</f>
        <v>7.0796460176991149E-2</v>
      </c>
      <c r="D89" s="210"/>
      <c r="E89" s="262">
        <f>E88*Exchange_Rate/Dashboard!G3</f>
        <v>7.0796460176991149E-2</v>
      </c>
      <c r="F89" s="210"/>
      <c r="H89" s="262">
        <f>H88*Exchange_Rate/Dashboard!G3</f>
        <v>7.0796460176991149E-2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249.13586090338779</v>
      </c>
      <c r="H93" s="87" t="s">
        <v>210</v>
      </c>
      <c r="I93" s="144">
        <f>FV(H87,D93,0,-(H86/C93))*Exchange_Rate</f>
        <v>249.13586090338779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145.04394762381685</v>
      </c>
      <c r="H94" s="87" t="s">
        <v>211</v>
      </c>
      <c r="I94" s="144">
        <f>FV(H89,D93,0,-(H88/C93))*Exchange_Rate</f>
        <v>145.04394762381685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233146.22879823955</v>
      </c>
      <c r="D97" s="214"/>
      <c r="E97" s="123">
        <f>PV(C94,D93,0,-F93)</f>
        <v>123.8645539696752</v>
      </c>
      <c r="F97" s="214"/>
      <c r="H97" s="123">
        <f>PV(C94,D93,0,-I93)</f>
        <v>123.8645539696752</v>
      </c>
      <c r="I97" s="123">
        <f>PV(C93,D93,0,-I93)</f>
        <v>180.98818358331764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233146.22879823955</v>
      </c>
      <c r="D100" s="109">
        <f>MIN(F100*(1-C94),E100)</f>
        <v>105.28487087422391</v>
      </c>
      <c r="E100" s="109">
        <f>MAX(E97-H98+E99,0)</f>
        <v>123.8645539696752</v>
      </c>
      <c r="F100" s="109">
        <f>(E100+H100)/2</f>
        <v>123.8645539696752</v>
      </c>
      <c r="H100" s="109">
        <f>MAX(C100*Data!$C$4/Common_Shares,0)</f>
        <v>123.8645539696752</v>
      </c>
      <c r="I100" s="109">
        <f>MAX(I97-H98+H99,0)</f>
        <v>180.98818358331764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135734.97318242729</v>
      </c>
      <c r="D103" s="109">
        <f>MIN(F103*(1-C94),E103)</f>
        <v>61.295604901227591</v>
      </c>
      <c r="E103" s="123">
        <f>PV(C94,D93,0,-F94)</f>
        <v>72.112476354385407</v>
      </c>
      <c r="F103" s="109">
        <f>(E103+H103)/2</f>
        <v>72.112476354385407</v>
      </c>
      <c r="H103" s="123">
        <f>PV(C94,D93,0,-I94)</f>
        <v>72.112476354385407</v>
      </c>
      <c r="I103" s="109">
        <f>PV(C93,D93,0,-I94)</f>
        <v>105.3691769823872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184440.60099033339</v>
      </c>
      <c r="D106" s="109">
        <f>(D100+D103)/2</f>
        <v>83.290237887725752</v>
      </c>
      <c r="E106" s="123">
        <f>(E100+E103)/2</f>
        <v>97.988515162030296</v>
      </c>
      <c r="F106" s="109">
        <f>(F100+F103)/2</f>
        <v>97.988515162030296</v>
      </c>
      <c r="H106" s="123">
        <f>(H100+H103)/2</f>
        <v>97.988515162030296</v>
      </c>
      <c r="I106" s="123">
        <f>(I100+I103)/2</f>
        <v>143.17868028285241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