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F8AC70-E3B9-43E5-833A-8072D4C4B7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E92" i="4"/>
  <c r="F97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<sst xmlns="http://schemas.openxmlformats.org/spreadsheetml/2006/main" count="390" uniqueCount="268">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</sst>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8171879936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0.20500000000000002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8765</v>
      </c>
      <c r="D25" s="150">
        <v>11881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5344</v>
      </c>
      <c r="D26" s="151">
        <v>6492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1084</v>
      </c>
      <c r="D27" s="151">
        <v>1129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</v>
      </c>
      <c r="D29" s="151">
        <v>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-151</v>
      </c>
      <c r="D30" s="151">
        <v>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910</v>
      </c>
      <c r="D31" s="151">
        <v>2541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160</v>
      </c>
      <c r="D32" s="151">
        <v>198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69</v>
      </c>
      <c r="D33" s="151">
        <v>108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67641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7251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16389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10902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5263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163105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756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0.57999999999999996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7.3885350318471335E-2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8765</v>
      </c>
      <c r="D91" s="210"/>
      <c r="E91" s="252">
        <f>C91</f>
        <v>8765</v>
      </c>
      <c r="F91" s="252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60">
        <f>C92/C91</f>
        <v>0.60969766115231028</v>
      </c>
      <c r="E92" s="253">
        <f>E91*D92</f>
        <v>5344</v>
      </c>
      <c r="F92" s="253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60">
        <f>C93/C91</f>
        <v>0.12367370222475756</v>
      </c>
      <c r="E93" s="253">
        <f>E91*D93</f>
        <v>1084</v>
      </c>
      <c r="F93" s="253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60">
        <f>C94/C91</f>
        <v>1.0724472333143184E-2</v>
      </c>
      <c r="E94" s="254"/>
      <c r="F94" s="253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60">
        <f>C95/C91</f>
        <v>1.038220193953223E-2</v>
      </c>
      <c r="E95" s="253">
        <f>E91*D95</f>
        <v>91</v>
      </c>
      <c r="F95" s="253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60">
        <f>C96/C91</f>
        <v>0.1038220193953223</v>
      </c>
      <c r="E96" s="254"/>
      <c r="F96" s="253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0.57999999999999996</v>
      </c>
      <c r="D98" s="267"/>
      <c r="E98" s="255">
        <f>F98</f>
        <v>0.57999999999999996</v>
      </c>
      <c r="F98" s="255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0083.HK</v>
      </c>
      <c r="D3" s="277"/>
      <c r="E3" s="87"/>
      <c r="F3" s="3" t="s">
        <v>1</v>
      </c>
      <c r="G3" s="132">
        <v>7.85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SINO LAND</v>
      </c>
      <c r="D4" s="279"/>
      <c r="E4" s="87"/>
      <c r="F4" s="3" t="s">
        <v>3</v>
      </c>
      <c r="G4" s="282">
        <f>Inputs!C10</f>
        <v>8171879936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64149.257497599996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0.60969766115231028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0.38570707266649029</v>
      </c>
    </row>
    <row r="24" spans="1:8" ht="15.75" customHeight="1" x14ac:dyDescent="0.4">
      <c r="B24" s="137" t="s">
        <v>171</v>
      </c>
      <c r="C24" s="172">
        <f>Fin_Analysis!I81</f>
        <v>1.0724472333143184E-2</v>
      </c>
      <c r="F24" s="140" t="s">
        <v>259</v>
      </c>
      <c r="G24" s="269">
        <f>G3/(Fin_Analysis!H86*G7)</f>
        <v>34.017508108669347</v>
      </c>
    </row>
    <row r="25" spans="1:8" ht="15.75" customHeight="1" x14ac:dyDescent="0.4">
      <c r="B25" s="137" t="s">
        <v>244</v>
      </c>
      <c r="C25" s="172">
        <f>Fin_Analysis!I82</f>
        <v>1.038220193953223E-2</v>
      </c>
      <c r="F25" s="140" t="s">
        <v>175</v>
      </c>
      <c r="G25" s="172">
        <f>Fin_Analysis!I88</f>
        <v>2.5133955035704743</v>
      </c>
    </row>
    <row r="26" spans="1:8" ht="15.75" customHeight="1" x14ac:dyDescent="0.4">
      <c r="B26" s="138" t="s">
        <v>174</v>
      </c>
      <c r="C26" s="172">
        <f>Fin_Analysis!I83</f>
        <v>0.22552196235025673</v>
      </c>
      <c r="F26" s="141" t="s">
        <v>194</v>
      </c>
      <c r="G26" s="179">
        <f>Fin_Analysis!H88*Exchange_Rate/G3</f>
        <v>7.3885350318471335E-2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7.1634223583323262</v>
      </c>
      <c r="D29" s="129">
        <f>G29*(1+G20)</f>
        <v>12.399791481902572</v>
      </c>
      <c r="E29" s="87"/>
      <c r="F29" s="131">
        <f>IF(Fin_Analysis!C108="Profit",Fin_Analysis!F100,IF(Fin_Analysis!C108="Dividend",Fin_Analysis!F103,Fin_Analysis!F106))</f>
        <v>8.4275557156850915</v>
      </c>
      <c r="G29" s="273">
        <f>IF(Fin_Analysis!C108="Profit",Fin_Analysis!I100,IF(Fin_Analysis!C108="Dividend",Fin_Analysis!I103,Fin_Analysis!I106))</f>
        <v>10.782427375567455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8765</v>
      </c>
      <c r="D6" s="201">
        <f>IF(Inputs!D25="","",Inputs!D25)</f>
        <v>11881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5344</v>
      </c>
      <c r="D8" s="200">
        <f>IF(Inputs!D26="","",Inputs!D26)</f>
        <v>6492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3421</v>
      </c>
      <c r="D9" s="152">
        <f t="shared" si="2"/>
        <v>5389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1084</v>
      </c>
      <c r="D10" s="200">
        <f>IF(Inputs!D27="","",Inputs!D27)</f>
        <v>1129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38.9937106918239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0.26662863662293212</v>
      </c>
      <c r="D13" s="230">
        <f t="shared" si="3"/>
        <v>0.35527365451630133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2337</v>
      </c>
      <c r="D14" s="231">
        <f t="shared" ref="D14:M14" si="4">IF(D6="","",D9-D10-MAX(D11,0)-MAX(D12,0))</f>
        <v>4221.0062893081758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-0.44634055487677682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910</v>
      </c>
      <c r="D16" s="200">
        <f>IF(Inputs!D31="","",Inputs!D31)</f>
        <v>2541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</v>
      </c>
      <c r="D17" s="200">
        <f>IF(Inputs!D29="","",Inputs!D29)</f>
        <v>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1.825442099258414E-2</v>
      </c>
      <c r="D18" s="153">
        <f t="shared" si="6"/>
        <v>1.6665263866677889E-2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160</v>
      </c>
      <c r="D19" s="200">
        <f>IF(Inputs!D32="","",Inputs!D32)</f>
        <v>198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7.8722190530519116E-3</v>
      </c>
      <c r="D20" s="153">
        <f t="shared" si="7"/>
        <v>9.0901439272788494E-3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69</v>
      </c>
      <c r="D21" s="200">
        <f>IF(Inputs!D33="","",Inputs!D33)</f>
        <v>108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1242</v>
      </c>
      <c r="D22" s="162">
        <f t="shared" ref="D22:M22" si="8">IF(D6="","",D14-MAX(D16,0)-MAX(D17,0)-ABS(MAX(D21,0)-MAX(D19,0)))</f>
        <v>1494.0062893081758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0.11265145464917284</v>
      </c>
      <c r="D23" s="154">
        <f t="shared" si="9"/>
        <v>9.9969278680245743E-2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-0.16867819841968104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0">
        <f>IF(Inputs!D34="","",Inputs!D34)</f>
        <v>67641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0">
        <f>IF(Inputs!D35="","",Inputs!D35)</f>
        <v>7251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200">
        <f>IF(Inputs!D36="","",Inputs!D36)</f>
        <v>16389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0">
        <f>IF(Inputs!D37="","",Inputs!D37)</f>
        <v>10902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0">
        <f>IF(Inputs!D38="","",Inputs!D38)</f>
        <v>5263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200">
        <f>IF(Inputs!D41="","",Inputs!D41)</f>
        <v>163105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200">
        <f>IF(Inputs!D42="","",Inputs!D42)</f>
        <v>756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5.9675195342423777E-2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0.60969766115231028</v>
      </c>
      <c r="D42" s="157">
        <f t="shared" si="34"/>
        <v>0.54641865162865078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0.12367370222475756</v>
      </c>
      <c r="D43" s="154">
        <f t="shared" si="35"/>
        <v>9.5025671239794635E-2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0.1038220193953223</v>
      </c>
      <c r="D44" s="154">
        <f t="shared" si="36"/>
        <v>0.21387088628903292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1.0724472333143184E-2</v>
      </c>
      <c r="D45" s="154">
        <f t="shared" si="37"/>
        <v>8.0801279353589772E-3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3.2820226152532532E-3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1.038220193953223E-2</v>
      </c>
      <c r="D47" s="154">
        <f t="shared" ref="D47:M47" si="39">IF(D6="","",ABS(MAX(D21,0)-MAX(D19,0))/D6)</f>
        <v>7.5751199393990403E-3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0.1416999429549344</v>
      </c>
      <c r="D48" s="154">
        <f t="shared" si="40"/>
        <v>0.12574752035251038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0.93462635482030809</v>
      </c>
      <c r="D50" s="157">
        <f t="shared" si="41"/>
        <v>0.61030216311758267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0.73029092983456934</v>
      </c>
      <c r="D51" s="154">
        <f t="shared" si="42"/>
        <v>1.3794293409645653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7.7784678170607288E-2</v>
      </c>
      <c r="D53" s="157">
        <f t="shared" ref="D53:M53" si="43">IF(D36="","",(D27-D36)/D27)</f>
        <v>9.0171250069727232E-2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1.4325259515570934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7.5684380032206122E-2</v>
      </c>
      <c r="D55" s="154">
        <f t="shared" si="45"/>
        <v>6.4256757610072962E-2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9.0093374264517774</v>
      </c>
      <c r="D56" s="159">
        <f t="shared" si="46"/>
        <v>6.2044578976334614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9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9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9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9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9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9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9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9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7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9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9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9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9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9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9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9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8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867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8765</v>
      </c>
      <c r="D74" s="210"/>
      <c r="E74" s="239">
        <f>Inputs!E91</f>
        <v>8765</v>
      </c>
      <c r="F74" s="210"/>
      <c r="H74" s="239">
        <f>Inputs!F91</f>
        <v>10518</v>
      </c>
      <c r="I74" s="210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0">
        <f>C75/$C$74</f>
        <v>0.60969766115231028</v>
      </c>
      <c r="E75" s="239">
        <f>Inputs!E92</f>
        <v>5344</v>
      </c>
      <c r="F75" s="161">
        <f>E75/E74</f>
        <v>0.60969766115231028</v>
      </c>
      <c r="H75" s="239">
        <f>Inputs!F92</f>
        <v>6412.7999999999993</v>
      </c>
      <c r="I75" s="161">
        <f>H75/$H$74</f>
        <v>0.60969766115231028</v>
      </c>
      <c r="K75" s="24"/>
    </row>
    <row r="76" spans="1:11" ht="15" customHeight="1" x14ac:dyDescent="0.4">
      <c r="B76" s="35" t="s">
        <v>96</v>
      </c>
      <c r="C76" s="162">
        <f>C74-C75</f>
        <v>3421</v>
      </c>
      <c r="D76" s="211"/>
      <c r="E76" s="163">
        <f>E74-E75</f>
        <v>3421</v>
      </c>
      <c r="F76" s="211"/>
      <c r="H76" s="163">
        <f>H74-H75</f>
        <v>4105.2000000000007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60">
        <f>C77/$C$74</f>
        <v>0.12367370222475756</v>
      </c>
      <c r="E77" s="239">
        <f>Inputs!E93</f>
        <v>1084</v>
      </c>
      <c r="F77" s="161">
        <f>E77/E74</f>
        <v>0.12367370222475756</v>
      </c>
      <c r="H77" s="239">
        <f>Inputs!F93</f>
        <v>1300.8</v>
      </c>
      <c r="I77" s="161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2337</v>
      </c>
      <c r="D79" s="259">
        <f>C79/C74</f>
        <v>0.26662863662293212</v>
      </c>
      <c r="E79" s="260">
        <f>E76-E77-E78</f>
        <v>2337</v>
      </c>
      <c r="F79" s="259">
        <f>E79/E74</f>
        <v>0.26662863662293212</v>
      </c>
      <c r="G79" s="261"/>
      <c r="H79" s="260">
        <f>H76-H77-H78</f>
        <v>2804.4000000000005</v>
      </c>
      <c r="I79" s="259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60">
        <f>C80/$C$74</f>
        <v>0.1038220193953223</v>
      </c>
      <c r="E80" s="181">
        <f>E74*F80</f>
        <v>175.3</v>
      </c>
      <c r="F80" s="161">
        <f>I80</f>
        <v>0.02</v>
      </c>
      <c r="H80" s="239">
        <f>Inputs!F96</f>
        <v>210.36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60">
        <f>C81/$C$74</f>
        <v>1.0724472333143184E-2</v>
      </c>
      <c r="E81" s="181">
        <f>E74*F81</f>
        <v>94</v>
      </c>
      <c r="F81" s="161">
        <f>I81</f>
        <v>1.0724472333143184E-2</v>
      </c>
      <c r="H81" s="239">
        <f>Inputs!F94</f>
        <v>112.80000000000001</v>
      </c>
      <c r="I81" s="161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60">
        <f>C82/$C$74</f>
        <v>1.038220193953223E-2</v>
      </c>
      <c r="E82" s="239">
        <f>Inputs!E95</f>
        <v>91</v>
      </c>
      <c r="F82" s="161">
        <f>E82/E74</f>
        <v>1.038220193953223E-2</v>
      </c>
      <c r="H82" s="239">
        <f>Inputs!F95</f>
        <v>109.2</v>
      </c>
      <c r="I82" s="161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4">
        <f>C79-C81-C82-C80</f>
        <v>1242</v>
      </c>
      <c r="D83" s="165">
        <f>C83/$C$74</f>
        <v>0.1416999429549344</v>
      </c>
      <c r="E83" s="166">
        <f>E79-E81-E82-E80</f>
        <v>1976.7</v>
      </c>
      <c r="F83" s="165">
        <f>E83/E74</f>
        <v>0.22552196235025671</v>
      </c>
      <c r="H83" s="166">
        <f>H79-H81-H82-H80</f>
        <v>2372.0400000000004</v>
      </c>
      <c r="I83" s="165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0.20500000000000002</v>
      </c>
      <c r="E84" s="213"/>
      <c r="F84" s="180">
        <f t="shared" ref="F84" si="3">I84</f>
        <v>0.20500000000000002</v>
      </c>
      <c r="H84" s="213"/>
      <c r="I84" s="203">
        <f>Inputs!C16</f>
        <v>0.20500000000000002</v>
      </c>
      <c r="K84" s="24"/>
    </row>
    <row r="85" spans="1:11" ht="15" customHeight="1" x14ac:dyDescent="0.4">
      <c r="B85" s="264" t="s">
        <v>165</v>
      </c>
      <c r="C85" s="258">
        <f>C83*(1-I84)</f>
        <v>987.38999999999987</v>
      </c>
      <c r="D85" s="259">
        <f>C85/$C$74</f>
        <v>0.11265145464917284</v>
      </c>
      <c r="E85" s="265">
        <f>E83*(1-F84)</f>
        <v>1571.4765</v>
      </c>
      <c r="F85" s="259">
        <f>E85/E74</f>
        <v>0.17928996006845407</v>
      </c>
      <c r="G85" s="261"/>
      <c r="H85" s="265">
        <f>H83*(1-I84)</f>
        <v>1885.7718000000002</v>
      </c>
      <c r="I85" s="259">
        <f>H85/$H$74</f>
        <v>0.1792899600684541</v>
      </c>
      <c r="K85" s="24"/>
    </row>
    <row r="86" spans="1:11" ht="15" customHeight="1" x14ac:dyDescent="0.4">
      <c r="B86" s="87" t="s">
        <v>161</v>
      </c>
      <c r="C86" s="168">
        <f>C85*Data!C4/Common_Shares</f>
        <v>0.12082776640540205</v>
      </c>
      <c r="D86" s="210"/>
      <c r="E86" s="169">
        <f>E85*Data!C4/Common_Shares</f>
        <v>0.19230293546985366</v>
      </c>
      <c r="F86" s="210"/>
      <c r="H86" s="169">
        <f>H85*Data!C4/Common_Shares</f>
        <v>0.23076352256382443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1.5392072153554402E-2</v>
      </c>
      <c r="D87" s="210"/>
      <c r="E87" s="263">
        <f>E86*Exchange_Rate/Dashboard!G3</f>
        <v>2.4497189231828493E-2</v>
      </c>
      <c r="F87" s="210"/>
      <c r="H87" s="263">
        <f>H86*Exchange_Rate/Dashboard!G3</f>
        <v>2.9396627078194196E-2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0.57999999999999996</v>
      </c>
      <c r="D88" s="167">
        <f>C88/C86</f>
        <v>4.8002211516016979</v>
      </c>
      <c r="E88" s="171">
        <f>Inputs!E98</f>
        <v>0.57999999999999996</v>
      </c>
      <c r="F88" s="167">
        <f>E88/E86</f>
        <v>3.0160746042845692</v>
      </c>
      <c r="H88" s="171">
        <f>Inputs!F98</f>
        <v>0.57999999999999996</v>
      </c>
      <c r="I88" s="167">
        <f>H88/H86</f>
        <v>2.5133955035704743</v>
      </c>
      <c r="K88" s="24"/>
    </row>
    <row r="89" spans="1:11" ht="15" customHeight="1" x14ac:dyDescent="0.4">
      <c r="B89" s="87" t="s">
        <v>222</v>
      </c>
      <c r="C89" s="262">
        <f>C88*Exchange_Rate/Dashboard!G3</f>
        <v>7.3885350318471335E-2</v>
      </c>
      <c r="D89" s="210"/>
      <c r="E89" s="262">
        <f>E88*Exchange_Rate/Dashboard!G3</f>
        <v>7.3885350318471335E-2</v>
      </c>
      <c r="F89" s="210"/>
      <c r="H89" s="262">
        <f>H88*Exchange_Rate/Dashboard!G3</f>
        <v>7.3885350318471335E-2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3.2884847659136858</v>
      </c>
      <c r="H93" s="87" t="s">
        <v>210</v>
      </c>
      <c r="I93" s="144">
        <f>FV(H87,D93,0,-(H86/C93))*Exchange_Rate</f>
        <v>4.0414473812786937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12.550864687557052</v>
      </c>
      <c r="H94" s="87" t="s">
        <v>211</v>
      </c>
      <c r="I94" s="144">
        <f>FV(H89,D93,0,-(H88/C93))*Exchange_Rate</f>
        <v>12.550864687557052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16419.869614765332</v>
      </c>
      <c r="D97" s="214"/>
      <c r="E97" s="123">
        <f>PV(C94,D93,0,-F93)</f>
        <v>1.6349581199951273</v>
      </c>
      <c r="F97" s="214"/>
      <c r="H97" s="123">
        <f>PV(C94,D93,0,-I93)</f>
        <v>2.0093136149039639</v>
      </c>
      <c r="I97" s="123">
        <f>PV(C93,D93,0,-I93)</f>
        <v>2.9359652116434436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4"/>
      <c r="E98" s="214"/>
      <c r="F98" s="214"/>
      <c r="H98" s="123">
        <f>C98*Data!$C$4/Common_Shares</f>
        <v>6.4367073931517929E-2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5"/>
      <c r="E99" s="146">
        <f>IF(H99&gt;0,H99*(1-C94),H99*(1+C94))</f>
        <v>8.1391816229444913</v>
      </c>
      <c r="F99" s="215"/>
      <c r="H99" s="146">
        <f>C99*Data!$C$4/Common_Shares</f>
        <v>9.5755077916994011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94143.769614765333</v>
      </c>
      <c r="D100" s="109">
        <f>MIN(F100*(1-C94),E100)</f>
        <v>9.0228464757139779</v>
      </c>
      <c r="E100" s="109">
        <f>MAX(E97-H98+E99,0)</f>
        <v>9.7097726690081014</v>
      </c>
      <c r="F100" s="109">
        <f>(E100+H100)/2</f>
        <v>10.615113500839975</v>
      </c>
      <c r="H100" s="109">
        <f>MAX(C100*Data!$C$4/Common_Shares,0)</f>
        <v>11.520454332671846</v>
      </c>
      <c r="I100" s="109">
        <f>MAX(I97-H98+H99,0)</f>
        <v>12.447105929411327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50992.513889181311</v>
      </c>
      <c r="D103" s="109">
        <f>MIN(F103*(1-C94),E103)</f>
        <v>5.3039982409506754</v>
      </c>
      <c r="E103" s="123">
        <f>PV(C94,D93,0,-F94)</f>
        <v>6.2399979305302065</v>
      </c>
      <c r="F103" s="109">
        <f>(E103+H103)/2</f>
        <v>6.2399979305302065</v>
      </c>
      <c r="H103" s="123">
        <f>PV(C94,D93,0,-I94)</f>
        <v>6.2399979305302065</v>
      </c>
      <c r="I103" s="109">
        <f>PV(C93,D93,0,-I94)</f>
        <v>9.1177488217235823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65169.805173084889</v>
      </c>
      <c r="D106" s="109">
        <f>(D100+D103)/2</f>
        <v>7.1634223583323262</v>
      </c>
      <c r="E106" s="123">
        <f>(E100+E103)/2</f>
        <v>7.9748852997691539</v>
      </c>
      <c r="F106" s="109">
        <f>(F100+F103)/2</f>
        <v>8.4275557156850915</v>
      </c>
      <c r="H106" s="123">
        <f>(H100+H103)/2</f>
        <v>8.8802261316010274</v>
      </c>
      <c r="I106" s="123">
        <f>(I100+I103)/2</f>
        <v>10.782427375567455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