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B679BD-F964-453E-9EA1-75164DF39F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<sst xmlns="http://schemas.openxmlformats.org/spreadsheetml/2006/main" count="390" uniqueCount="268">
  <si>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</si>
  <si>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</si>
  <si>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</si>
  <si>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</si>
  <si>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</si>
  <si>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</si>
  <si>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</si>
  <si>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</si>
  <si>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</si>
  <si>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</si>
  <si>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</si>
  <si>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</si>
  <si>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</si>
  <si>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</si>
  <si>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</si>
  <si>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</si>
  <si>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</si>
  <si>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</si>
  <si>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</si>
  <si>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</si>
  <si>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</si>
  <si>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</si>
  <si>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</si>
  <si>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</si>
  <si>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</si>
  <si>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</si>
  <si>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</si>
  <si>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</si>
  <si>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</si>
  <si>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</si>
  <si>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</si>
  <si>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</si>
  <si>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</si>
  <si>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</si>
  <si>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</si>
  <si>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</si>
  <si>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</si>
  <si>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</si>
  <si>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</si>
  <si>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</si>
  <si>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</si>
  <si>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</si>
  <si>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</si>
  <si>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</si>
  <si>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</si>
  <si>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</si>
  <si>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</si>
  <si>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</si>
  <si>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</si>
  <si>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</si>
  <si>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</si>
  <si>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</si>
  <si>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</si>
  <si>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</si>
  <si>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</si>
  <si>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</si>
  <si>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</si>
  <si>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</si>
  <si>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</si>
  <si>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</si>
  <si>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</si>
  <si>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</si>
  <si>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</si>
  <si>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</si>
  <si>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</si>
  <si>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</si>
  <si>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</si>
  <si>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</si>
  <si>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</si>
  <si>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</si>
  <si>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</si>
  <si>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</si>
  <si>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</si>
  <si>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</si>
  <si>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</si>
  <si>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</si>
  <si>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</si>
  <si>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</si>
  <si>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</si>
  <si>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</si>
  <si>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</si>
  <si>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</si>
  <si>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</si>
  <si>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</si>
  <si>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</si>
  <si>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</si>
  <si>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</si>
  <si>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</si>
  <si>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</si>
  <si>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</si>
  <si>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</si>
  <si>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</si>
  <si>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</si>
  <si>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</si>
  <si>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</si>
  <si>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</si>
  <si>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</si>
  <si>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</si>
  <si>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</si>
  <si>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</si>
  <si>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</si>
  <si>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</si>
  <si>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</si>
  <si>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</si>
  <si>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</si>
  <si>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</si>
  <si>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</si>
  <si>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</si>
  <si>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</si>
  <si>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</si>
  <si>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</si>
  <si>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</si>
  <si>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</si>
  <si>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</si>
  <si>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</si>
  <si>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</si>
  <si>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</si>
  <si>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</si>
  <si>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</si>
  <si>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</si>
  <si>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</si>
  <si>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</si>
  <si>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</si>
  <si>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</si>
  <si>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</si>
  <si>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</si>
  <si>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</si>
  <si>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</si>
  <si>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</si>
  <si>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</si>
  <si>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</si>
  <si>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</si>
  <si>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</si>
  <si>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</si>
  <si>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</si>
  <si>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</si>
  <si>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</si>
  <si>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</si>
  <si>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</si>
  <si>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</si>
  <si>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</si>
  <si>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</si>
  <si>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</si>
  <si>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</si>
  <si>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</si>
  <si>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</si>
  <si>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</si>
  <si>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</si>
  <si>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</si>
  <si>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</si>
  <si>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</si>
  <si>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</si>
  <si>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</si>
  <si>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</si>
  <si>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</si>
  <si>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</si>
  <si>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</si>
  <si>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</si>
  <si>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</si>
  <si>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</si>
  <si>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</si>
  <si>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</si>
  <si>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</si>
  <si>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</si>
  <si>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</si>
  <si>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</si>
  <si>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</si>
  <si>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</si>
  <si>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</si>
  <si>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</si>
  <si>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</si>
  <si>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</si>
  <si>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</si>
  <si>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</si>
  <si>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</si>
  <si>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</si>
  <si>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</si>
  <si>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</si>
  <si>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</si>
  <si>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</si>
  <si>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</si>
  <si>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</si>
  <si>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</si>
  <si>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</si>
  <si>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</si>
  <si>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</si>
  <si>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</si>
  <si>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</si>
  <si>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</si>
  <si>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</si>
  <si>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</si>
  <si>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</si>
  <si>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</si>
  <si>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</si>
  <si>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</si>
  <si>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</si>
  <si>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</si>
  <si>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</si>
  <si>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</si>
  <si>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</si>
  <si>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</si>
  <si>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</si>
  <si>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</si>
  <si>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</si>
  <si>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</si>
  <si>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</si>
  <si>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</si>
  <si>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</si>
  <si>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</si>
  <si>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</si>
  <si>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</si>
  <si>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</si>
  <si>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</si>
  <si>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</si>
  <si>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</si>
  <si>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</si>
  <si>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</si>
  <si>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</si>
  <si>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</si>
  <si>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</si>
  <si>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</si>
  <si>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</si>
  <si>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</si>
  <si>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</si>
  <si>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</si>
  <si>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</si>
  <si>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</si>
  <si>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</si>
  <si>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</si>
  <si>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</si>
  <si>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</si>
  <si>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</si>
  <si>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</si>
  <si>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</si>
  <si>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</si>
  <si>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</si>
  <si>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</si>
  <si>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</si>
  <si>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</si>
  <si>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</si>
  <si>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</si>
  <si>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</si>
  <si>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</si>
  <si>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</si>
  <si>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</si>
  <si>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</si>
  <si>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</si>
  <si>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</si>
  <si>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</si>
  <si>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</si>
  <si>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</si>
  <si>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</si>
  <si>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</si>
  <si>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</si>
  <si>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</si>
  <si>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</si>
  <si>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</si>
  <si>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</si>
  <si>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1398.HK</t>
  </si>
  <si>
    <t>工商银行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</si>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</sst>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356406257089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0.10220259924729665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638618</v>
      </c>
      <c r="D72" s="249">
        <v>0</v>
      </c>
      <c r="E72" s="250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60">
        <f>C97/C91</f>
        <v>9.7044800044936142E-4</v>
      </c>
      <c r="E97" s="254"/>
      <c r="F97" s="253">
        <f>F91*D97</f>
        <v>1497.3333333333333</v>
      </c>
    </row>
    <row r="98" spans="2:7" ht="13.9" x14ac:dyDescent="0.4">
      <c r="B98" s="86" t="s">
        <v>207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1398.HK</v>
      </c>
      <c r="D3" s="277"/>
      <c r="E3" s="87"/>
      <c r="F3" s="3" t="s">
        <v>1</v>
      </c>
      <c r="G3" s="132">
        <v>4.72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工商银行</v>
      </c>
      <c r="D4" s="279"/>
      <c r="E4" s="87"/>
      <c r="F4" s="3" t="s">
        <v>2</v>
      </c>
      <c r="G4" s="282">
        <f>Inputs!C10</f>
        <v>356406257089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1682237.5334600799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1.2012210534502537E-2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0.40589098537145768</v>
      </c>
    </row>
    <row r="24" spans="1:8" ht="15.75" customHeight="1" x14ac:dyDescent="0.4">
      <c r="B24" s="137" t="s">
        <v>170</v>
      </c>
      <c r="C24" s="172">
        <f>Fin_Analysis!I81</f>
        <v>0.48610500800425166</v>
      </c>
      <c r="F24" s="140" t="s">
        <v>257</v>
      </c>
      <c r="G24" s="269">
        <f>G3/(Fin_Analysis!H86*G7)</f>
        <v>3.9152390076129495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0.27257720239339839</v>
      </c>
    </row>
    <row r="26" spans="1:8" ht="15.75" customHeight="1" x14ac:dyDescent="0.4">
      <c r="B26" s="138" t="s">
        <v>173</v>
      </c>
      <c r="C26" s="172">
        <f>Fin_Analysis!I83</f>
        <v>0.34620797227785238</v>
      </c>
      <c r="F26" s="141" t="s">
        <v>193</v>
      </c>
      <c r="G26" s="179">
        <f>Fin_Analysis!H88*Exchange_Rate/G3</f>
        <v>6.9619556268056229E-2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2.7003319225735032</v>
      </c>
      <c r="D29" s="129">
        <f>G29*(1+G20)</f>
        <v>5.1905256338431256</v>
      </c>
      <c r="E29" s="87"/>
      <c r="F29" s="131">
        <f>IF(Fin_Analysis!C108="Profit",Fin_Analysis!F100,IF(Fin_Analysis!C108="Dividend",Fin_Analysis!F103,Fin_Analysis!F106))</f>
        <v>3.1768610853805921</v>
      </c>
      <c r="G29" s="273">
        <f>IF(Fin_Analysis!C108="Profit",Fin_Analysis!I100,IF(Fin_Analysis!C108="Dividend",Fin_Analysis!I103,Fin_Analysis!I106))</f>
        <v>4.5135005511679358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-16696020.663776992</v>
      </c>
      <c r="E6" s="56">
        <f>1-D6/D3</f>
        <v>5.3203561504517642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6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42280604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95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60">
        <f>C78/$C$74</f>
        <v>9.7044800044936142E-4</v>
      </c>
      <c r="E78" s="181">
        <f>E74*F78</f>
        <v>1497.3333333333333</v>
      </c>
      <c r="F78" s="161">
        <f>I78</f>
        <v>9.7044800044936142E-4</v>
      </c>
      <c r="H78" s="239">
        <f>Inputs!F97</f>
        <v>1497.3333333333333</v>
      </c>
      <c r="I78" s="161">
        <f>H78/$H$74</f>
        <v>9.7044800044936142E-4</v>
      </c>
      <c r="K78" s="24"/>
    </row>
    <row r="79" spans="1:11" ht="15" customHeight="1" x14ac:dyDescent="0.4">
      <c r="B79" s="257" t="s">
        <v>232</v>
      </c>
      <c r="C79" s="258">
        <f>C76-C77-C78</f>
        <v>1284200.6666666667</v>
      </c>
      <c r="D79" s="259">
        <f>C79/C74</f>
        <v>0.83231298028210399</v>
      </c>
      <c r="E79" s="260">
        <f>E76-E77-E78</f>
        <v>1284200.6666666667</v>
      </c>
      <c r="F79" s="259">
        <f>E79/E74</f>
        <v>0.83231298028210399</v>
      </c>
      <c r="G79" s="261"/>
      <c r="H79" s="260">
        <f>H76-H77-H78</f>
        <v>1284200.6666666667</v>
      </c>
      <c r="I79" s="259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534174.66666666674</v>
      </c>
      <c r="F83" s="165">
        <f>E83/E74</f>
        <v>0.34620797227785238</v>
      </c>
      <c r="H83" s="166">
        <f>H79-H81-H82-H80</f>
        <v>534174.66666666674</v>
      </c>
      <c r="I83" s="165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400631.00000000006</v>
      </c>
      <c r="D85" s="259">
        <f>C85/$C$74</f>
        <v>0.25965597920838929</v>
      </c>
      <c r="E85" s="265">
        <f>E83*(1-F84)</f>
        <v>400631.00000000006</v>
      </c>
      <c r="F85" s="259">
        <f>E85/E74</f>
        <v>0.25965597920838929</v>
      </c>
      <c r="G85" s="261"/>
      <c r="H85" s="265">
        <f>H83*(1-I84)</f>
        <v>400631.00000000006</v>
      </c>
      <c r="I85" s="259">
        <f>H85/$H$74</f>
        <v>0.25965597920838929</v>
      </c>
      <c r="K85" s="24"/>
    </row>
    <row r="86" spans="1:11" ht="15" customHeight="1" x14ac:dyDescent="0.4">
      <c r="B86" s="87" t="s">
        <v>160</v>
      </c>
      <c r="C86" s="168">
        <f>C85*Data!C4/Common_Shares</f>
        <v>1.1240852034198616</v>
      </c>
      <c r="D86" s="210"/>
      <c r="E86" s="169">
        <f>E85*Data!C4/Common_Shares</f>
        <v>1.1240852034198616</v>
      </c>
      <c r="F86" s="210"/>
      <c r="H86" s="169">
        <f>H85*Data!C4/Common_Shares</f>
        <v>1.1240852034198616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0.2554122489216008</v>
      </c>
      <c r="D87" s="210"/>
      <c r="E87" s="263">
        <f>E86*Exchange_Rate/Dashboard!G3</f>
        <v>0.2554122489216008</v>
      </c>
      <c r="F87" s="210"/>
      <c r="H87" s="263">
        <f>H86*Exchange_Rate/Dashboard!G3</f>
        <v>0.2554122489216008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0.27257720239339839</v>
      </c>
      <c r="H88" s="171">
        <f>Inputs!F98</f>
        <v>0.30640000000000001</v>
      </c>
      <c r="I88" s="167">
        <f>H88/H86</f>
        <v>0.27257720239339839</v>
      </c>
      <c r="K88" s="24"/>
    </row>
    <row r="89" spans="1:11" ht="15" customHeight="1" x14ac:dyDescent="0.4">
      <c r="B89" s="87" t="s">
        <v>221</v>
      </c>
      <c r="C89" s="262">
        <f>C88*Exchange_Rate/Dashboard!G3</f>
        <v>0.10220259924729665</v>
      </c>
      <c r="D89" s="210"/>
      <c r="E89" s="262">
        <f>E88*Exchange_Rate/Dashboard!G3</f>
        <v>6.9619556268056229E-2</v>
      </c>
      <c r="F89" s="210"/>
      <c r="H89" s="262">
        <f>H88*Exchange_Rate/Dashboard!G3</f>
        <v>6.9619556268056229E-2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52.213527143078686</v>
      </c>
      <c r="H93" s="87" t="s">
        <v>209</v>
      </c>
      <c r="I93" s="144">
        <f>FV(H87,D93,0,-(H86/C93))*Exchange_Rate</f>
        <v>52.213527143078686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6.3898023777693034</v>
      </c>
      <c r="H94" s="87" t="s">
        <v>210</v>
      </c>
      <c r="I94" s="144">
        <f>FV(H89,D93,0,-(H88/C93))*Exchange_Rate</f>
        <v>6.3898023777693034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9252075.1133267265</v>
      </c>
      <c r="D97" s="214"/>
      <c r="E97" s="123">
        <f>PV(C94,D93,0,-F93)</f>
        <v>25.959350963404507</v>
      </c>
      <c r="F97" s="214"/>
      <c r="H97" s="123">
        <f>PV(C94,D93,0,-I93)</f>
        <v>25.959350963404507</v>
      </c>
      <c r="I97" s="123">
        <f>PV(C93,D93,0,-I93)</f>
        <v>36.881544937697932</v>
      </c>
      <c r="K97" s="24"/>
    </row>
    <row r="98" spans="2:11" ht="15" customHeight="1" x14ac:dyDescent="0.4">
      <c r="B98" s="28" t="s">
        <v>144</v>
      </c>
      <c r="C98" s="91">
        <f>E53*Exchange_Rate</f>
        <v>675483.47202936804</v>
      </c>
      <c r="D98" s="214"/>
      <c r="E98" s="214"/>
      <c r="F98" s="214"/>
      <c r="H98" s="123">
        <f>C98*Data!$C$4/Common_Shares</f>
        <v>1.8952626633058511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-34488961.644692615</v>
      </c>
      <c r="D99" s="215"/>
      <c r="E99" s="146">
        <f>IF(H99&gt;0,H99*(1-C94),H99*(1+C94))</f>
        <v>-111.28397749058662</v>
      </c>
      <c r="F99" s="215"/>
      <c r="H99" s="146">
        <f>C99*Data!$C$4/Common_Shares</f>
        <v>-96.76867607877098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-25912370.003395256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1132253.1687321949</v>
      </c>
      <c r="D103" s="109">
        <f>MIN(F103*(1-C94),E103)</f>
        <v>2.7003319225735032</v>
      </c>
      <c r="E103" s="123">
        <f>PV(C94,D93,0,-F94)</f>
        <v>3.1768610853805921</v>
      </c>
      <c r="F103" s="109">
        <f>(E103+H103)/2</f>
        <v>3.1768610853805921</v>
      </c>
      <c r="H103" s="123">
        <f>PV(C94,D93,0,-I94)</f>
        <v>3.1768610853805921</v>
      </c>
      <c r="I103" s="109">
        <f>PV(C93,D93,0,-I94)</f>
        <v>4.5135005511679358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566126.58436609746</v>
      </c>
      <c r="D106" s="109">
        <f>(D100+D103)/2</f>
        <v>1.3501659612867516</v>
      </c>
      <c r="E106" s="123">
        <f>(E100+E103)/2</f>
        <v>1.588430542690296</v>
      </c>
      <c r="F106" s="109">
        <f>(F100+F103)/2</f>
        <v>1.588430542690296</v>
      </c>
      <c r="H106" s="123">
        <f>(H100+H103)/2</f>
        <v>1.588430542690296</v>
      </c>
      <c r="I106" s="123">
        <f>(I100+I103)/2</f>
        <v>2.2567502755839679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