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B66CD9D-E87E-4D32-9CAD-EE754376CD0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F95" i="4"/>
  <c r="F96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<sst xmlns="http://schemas.openxmlformats.org/spreadsheetml/2006/main" count="390" uniqueCount="268">
  <si>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</si>
  <si>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</si>
  <si>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</si>
  <si>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</si>
  <si>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</si>
  <si>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</si>
  <si>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</si>
  <si>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</si>
  <si>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</si>
  <si>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</si>
  <si>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</si>
  <si>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</si>
  <si>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</si>
  <si>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</si>
  <si>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</si>
  <si>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</si>
  <si>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</si>
  <si>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</si>
  <si>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</si>
  <si>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</si>
  <si>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</si>
  <si>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</si>
  <si>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</si>
  <si>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</si>
  <si>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</si>
  <si>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</si>
  <si>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</si>
  <si>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</si>
  <si>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</si>
  <si>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</si>
  <si>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</si>
  <si>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</si>
  <si>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</si>
  <si>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</si>
  <si>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</si>
  <si>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</si>
  <si>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</si>
  <si>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</si>
  <si>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</si>
  <si>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</si>
  <si>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</si>
  <si>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</si>
  <si>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</si>
  <si>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</si>
  <si>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</si>
  <si>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</si>
  <si>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</si>
  <si>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</si>
  <si>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</si>
  <si>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</si>
  <si>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</si>
  <si>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</si>
  <si>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</si>
  <si>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</si>
  <si>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</si>
  <si>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</si>
  <si>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</si>
  <si>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</si>
  <si>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</si>
  <si>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</si>
  <si>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</si>
  <si>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</si>
  <si>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</si>
  <si>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</si>
  <si>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</si>
  <si>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</si>
  <si>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</si>
  <si>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</si>
  <si>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</si>
  <si>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</si>
  <si>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</si>
  <si>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</si>
  <si>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</si>
  <si>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</si>
  <si>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</si>
  <si>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</si>
  <si>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</si>
  <si>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</si>
  <si>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</si>
  <si>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</si>
  <si>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</si>
  <si>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</si>
  <si>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</si>
  <si>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</si>
  <si>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</si>
  <si>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</si>
  <si>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</si>
  <si>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</si>
  <si>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</si>
  <si>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</si>
  <si>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</si>
  <si>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</si>
  <si>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</si>
  <si>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</si>
  <si>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</si>
  <si>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</si>
  <si>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</si>
  <si>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</si>
  <si>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</si>
  <si>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</si>
  <si>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</si>
  <si>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</si>
  <si>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</si>
  <si>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</si>
  <si>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</si>
  <si>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</si>
  <si>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</si>
  <si>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</si>
  <si>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</si>
  <si>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</si>
  <si>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</si>
  <si>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</si>
  <si>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</si>
  <si>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</si>
  <si>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</si>
  <si>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</si>
  <si>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</si>
  <si>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</si>
  <si>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</si>
  <si>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</si>
  <si>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</si>
  <si>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</si>
  <si>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</si>
  <si>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</si>
  <si>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</si>
  <si>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</si>
  <si>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</si>
  <si>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</si>
  <si>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</si>
  <si>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</si>
  <si>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</si>
  <si>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</si>
  <si>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</si>
  <si>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</si>
  <si>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</si>
  <si>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</si>
  <si>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</si>
  <si>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</si>
  <si>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</si>
  <si>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</si>
  <si>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</si>
  <si>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</si>
  <si>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</si>
  <si>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</si>
  <si>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</si>
  <si>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</si>
  <si>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</si>
  <si>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</si>
  <si>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</si>
  <si>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</si>
  <si>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</si>
  <si>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</si>
  <si>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</si>
  <si>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</si>
  <si>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</si>
  <si>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</si>
  <si>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</si>
  <si>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</si>
  <si>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</si>
  <si>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</si>
  <si>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</si>
  <si>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</si>
  <si>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</si>
  <si>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</si>
  <si>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</si>
  <si>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</si>
  <si>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</si>
  <si>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</si>
  <si>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</si>
  <si>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</si>
  <si>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</si>
  <si>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</si>
  <si>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</si>
  <si>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</si>
  <si>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</si>
  <si>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</si>
  <si>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</si>
  <si>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</si>
  <si>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</si>
  <si>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</si>
  <si>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</si>
  <si>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</si>
  <si>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</si>
  <si>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</si>
  <si>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</si>
  <si>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</si>
  <si>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</si>
  <si>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</si>
  <si>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</si>
  <si>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</si>
  <si>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</si>
  <si>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</si>
  <si>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</si>
  <si>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</si>
  <si>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</si>
  <si>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</si>
  <si>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</si>
  <si>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</si>
  <si>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</si>
  <si>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</si>
  <si>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</si>
  <si>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</si>
  <si>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</si>
  <si>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</si>
  <si>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</si>
  <si>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</si>
  <si>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</si>
  <si>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</si>
  <si>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</si>
  <si>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</si>
  <si>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</si>
  <si>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</si>
  <si>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</si>
  <si>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</si>
  <si>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</si>
  <si>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</si>
  <si>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</si>
  <si>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</si>
  <si>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</si>
  <si>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</si>
  <si>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</si>
  <si>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</si>
  <si>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</si>
  <si>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</si>
  <si>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</si>
  <si>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</si>
  <si>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</si>
  <si>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</si>
  <si>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</si>
  <si>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</si>
  <si>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</si>
  <si>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</si>
  <si>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</si>
  <si>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</si>
  <si>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</si>
  <si>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</si>
  <si>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</si>
  <si>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</si>
  <si>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</si>
  <si>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</si>
  <si>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</si>
  <si>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</si>
  <si>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</si>
  <si>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</si>
  <si>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</si>
  <si>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</si>
  <si>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</si>
  <si>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</si>
  <si>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</si>
  <si>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</si>
  <si>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</si>
  <si>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</si>
  <si>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</si>
  <si>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</si>
  <si>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</si>
  <si>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</si>
  <si>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</si>
  <si>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</si>
  <si>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1658.HK</t>
  </si>
  <si>
    <t>邮储银行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</si>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</sst>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8.9217754367700408E-2</c:v>
                </c:pt>
                <c:pt idx="1">
                  <c:v>0.40977301972404179</c:v>
                </c:pt>
                <c:pt idx="2">
                  <c:v>3.7371996362297238E-4</c:v>
                </c:pt>
                <c:pt idx="3">
                  <c:v>0</c:v>
                </c:pt>
                <c:pt idx="4">
                  <c:v>0.39408770164042439</c:v>
                </c:pt>
                <c:pt idx="5">
                  <c:v>0</c:v>
                </c:pt>
                <c:pt idx="6">
                  <c:v>0.10654780430421051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45606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99161076038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549431</v>
      </c>
      <c r="D25" s="150">
        <v>523985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49019</v>
      </c>
      <c r="D26" s="151">
        <v>56639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225142</v>
      </c>
      <c r="D27" s="151">
        <v>208680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216524</v>
      </c>
      <c r="D29" s="151">
        <v>200647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154</v>
      </c>
      <c r="D30" s="151">
        <v>131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0.261+0.1477</f>
        <v>0.40870000000000001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9.7403959742298818E-2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549431</v>
      </c>
      <c r="D91" s="210"/>
      <c r="E91" s="252">
        <f>C91</f>
        <v>549431</v>
      </c>
      <c r="F91" s="252">
        <f>C91</f>
        <v>549431</v>
      </c>
    </row>
    <row r="92" spans="2:8" ht="13.9" x14ac:dyDescent="0.4">
      <c r="B92" s="104" t="s">
        <v>105</v>
      </c>
      <c r="C92" s="77">
        <f>C26</f>
        <v>49019</v>
      </c>
      <c r="D92" s="160">
        <f>C92/C91</f>
        <v>8.9217754367700408E-2</v>
      </c>
      <c r="E92" s="253">
        <f>E91*D92</f>
        <v>49019</v>
      </c>
      <c r="F92" s="253">
        <f>F91*D92</f>
        <v>49019</v>
      </c>
    </row>
    <row r="93" spans="2:8" ht="13.9" x14ac:dyDescent="0.4">
      <c r="B93" s="104" t="s">
        <v>246</v>
      </c>
      <c r="C93" s="77">
        <f>C27+C28</f>
        <v>225142</v>
      </c>
      <c r="D93" s="160">
        <f>C93/C91</f>
        <v>0.40977301972404179</v>
      </c>
      <c r="E93" s="253">
        <f>E91*D93</f>
        <v>225142</v>
      </c>
      <c r="F93" s="253">
        <f>F91*D93</f>
        <v>225142</v>
      </c>
    </row>
    <row r="94" spans="2:8" ht="13.9" x14ac:dyDescent="0.4">
      <c r="B94" s="104" t="s">
        <v>255</v>
      </c>
      <c r="C94" s="77">
        <f>C29</f>
        <v>216524</v>
      </c>
      <c r="D94" s="160">
        <f>C94/C91</f>
        <v>0.39408770164042439</v>
      </c>
      <c r="E94" s="254"/>
      <c r="F94" s="253">
        <f>F91*D94</f>
        <v>216524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205.33333333333334</v>
      </c>
      <c r="D97" s="160">
        <f>C97/C91</f>
        <v>3.7371996362297238E-4</v>
      </c>
      <c r="E97" s="254"/>
      <c r="F97" s="253">
        <f>F91*D97</f>
        <v>205.33333333333334</v>
      </c>
    </row>
    <row r="98" spans="2:7" ht="13.9" x14ac:dyDescent="0.4">
      <c r="B98" s="86" t="s">
        <v>207</v>
      </c>
      <c r="C98" s="238">
        <f>C44</f>
        <v>0.40870000000000001</v>
      </c>
      <c r="D98" s="267"/>
      <c r="E98" s="255">
        <f>F98</f>
        <v>0.26100000000000001</v>
      </c>
      <c r="F98" s="255">
        <v>0.26100000000000001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1658.HK : 邮储银行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1658.HK</v>
      </c>
      <c r="D3" s="277"/>
      <c r="E3" s="87"/>
      <c r="F3" s="3" t="s">
        <v>1</v>
      </c>
      <c r="G3" s="132">
        <v>4.5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邮储银行</v>
      </c>
      <c r="D4" s="279"/>
      <c r="E4" s="87"/>
      <c r="F4" s="3" t="s">
        <v>2</v>
      </c>
      <c r="G4" s="282">
        <f>Inputs!C10</f>
        <v>99161076038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45606</v>
      </c>
      <c r="D5" s="281"/>
      <c r="E5" s="34"/>
      <c r="F5" s="35" t="s">
        <v>99</v>
      </c>
      <c r="G5" s="274">
        <f>G3*G4/1000000</f>
        <v>446224.84217100003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1.072468360265096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8.9217754367700408E-2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0.40977301972404179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3.7371996362297238E-4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0.39408770164042439</v>
      </c>
      <c r="F24" s="140" t="s">
        <v>257</v>
      </c>
      <c r="G24" s="269">
        <f>G3/(Fin_Analysis!H86*G7)</f>
        <v>9.4765515351932095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0.58947149778314767</v>
      </c>
    </row>
    <row r="26" spans="1:8" ht="15.75" customHeight="1" x14ac:dyDescent="0.4">
      <c r="B26" s="138" t="s">
        <v>173</v>
      </c>
      <c r="C26" s="172">
        <f>Fin_Analysis!I83</f>
        <v>0.10654780430421051</v>
      </c>
      <c r="F26" s="141" t="s">
        <v>193</v>
      </c>
      <c r="G26" s="179">
        <f>Fin_Analysis!H88*Exchange_Rate/G3</f>
        <v>6.2203164895375571E-2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2.2215709044052403</v>
      </c>
      <c r="D29" s="129">
        <f>G29*(1+G20)</f>
        <v>4.2702604929122661</v>
      </c>
      <c r="E29" s="87"/>
      <c r="F29" s="131">
        <f>IF(Fin_Analysis!C108="Profit",Fin_Analysis!F100,IF(Fin_Analysis!C108="Dividend",Fin_Analysis!F103,Fin_Analysis!F106))</f>
        <v>2.6136128287120473</v>
      </c>
      <c r="G29" s="273">
        <f>IF(Fin_Analysis!C108="Profit",Fin_Analysis!I100,IF(Fin_Analysis!C108="Dividend",Fin_Analysis!I103,Fin_Analysis!I106))</f>
        <v>3.7132699938367537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275064.66666666669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549431</v>
      </c>
      <c r="D6" s="201">
        <f>IF(Inputs!D25="","",Inputs!D25)</f>
        <v>523985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4.856245884901278E-2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49019</v>
      </c>
      <c r="D8" s="200">
        <f>IF(Inputs!D26="","",Inputs!D26)</f>
        <v>56639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500412</v>
      </c>
      <c r="D9" s="152">
        <f t="shared" si="2"/>
        <v>467346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225142</v>
      </c>
      <c r="D10" s="200">
        <f>IF(Inputs!D27="","",Inputs!D27)</f>
        <v>208680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205.33333333333334</v>
      </c>
      <c r="D12" s="200">
        <f>IF(Inputs!D30="","",MAX(Inputs!D30,0)/(1-Fin_Analysis!$I$84))</f>
        <v>174.66666666666666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0.50063550594463491</v>
      </c>
      <c r="D13" s="230">
        <f t="shared" si="3"/>
        <v>0.49331819295081603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275064.66666666669</v>
      </c>
      <c r="D14" s="231">
        <f t="shared" ref="D14:M14" si="4">IF(D6="","",D9-D10-MAX(D11,0)-MAX(D12,0))</f>
        <v>258491.33333333334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6.4115624766272014E-2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216524</v>
      </c>
      <c r="D17" s="200">
        <f>IF(Inputs!D29="","",Inputs!D29)</f>
        <v>200647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58540.666666666686</v>
      </c>
      <c r="D22" s="162">
        <f t="shared" ref="D22:M22" si="8">IF(D6="","",D14-MAX(D16,0)-MAX(D17,0)-ABS(MAX(D21,0)-MAX(D19,0)))</f>
        <v>57844.333333333343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7.9910853228157885E-2</v>
      </c>
      <c r="D23" s="154">
        <f t="shared" si="9"/>
        <v>8.2794831913127295E-2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43905.500000000015</v>
      </c>
      <c r="D24" s="77">
        <f>IF(D6="","",D22*(1-Fin_Analysis!$I$84))</f>
        <v>43383.250000000007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1.2038056162228675E-2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8.9217754367700408E-2</v>
      </c>
      <c r="D42" s="157">
        <f t="shared" si="34"/>
        <v>0.10809278891571324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0.40977301972404179</v>
      </c>
      <c r="D43" s="154">
        <f t="shared" si="35"/>
        <v>0.39825567525787953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0.39408770164042439</v>
      </c>
      <c r="D45" s="154">
        <f t="shared" si="37"/>
        <v>0.38292508373331297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3.7371996362297238E-4</v>
      </c>
      <c r="D46" s="154">
        <f t="shared" ref="D46:M46" si="38">IF(D6="","",MAX(D12,0)/D6)</f>
        <v>3.3334287559122239E-4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0.10654780430421051</v>
      </c>
      <c r="D48" s="154">
        <f t="shared" si="40"/>
        <v>0.11039310921750306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3.6986937855166198</v>
      </c>
      <c r="D55" s="154">
        <f t="shared" si="45"/>
        <v>3.4687408158678745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549431</v>
      </c>
      <c r="D74" s="210"/>
      <c r="E74" s="239">
        <f>Inputs!E91</f>
        <v>549431</v>
      </c>
      <c r="F74" s="210"/>
      <c r="H74" s="239">
        <f>Inputs!F91</f>
        <v>549431</v>
      </c>
      <c r="I74" s="210"/>
      <c r="K74" s="24"/>
    </row>
    <row r="75" spans="1:11" ht="15" customHeight="1" x14ac:dyDescent="0.4">
      <c r="B75" s="104" t="s">
        <v>105</v>
      </c>
      <c r="C75" s="77">
        <f>Data!C8</f>
        <v>49019</v>
      </c>
      <c r="D75" s="160">
        <f>C75/$C$74</f>
        <v>8.9217754367700408E-2</v>
      </c>
      <c r="E75" s="239">
        <f>Inputs!E92</f>
        <v>49019</v>
      </c>
      <c r="F75" s="161">
        <f>E75/E74</f>
        <v>8.9217754367700408E-2</v>
      </c>
      <c r="H75" s="239">
        <f>Inputs!F92</f>
        <v>49019</v>
      </c>
      <c r="I75" s="161">
        <f>H75/$H$74</f>
        <v>8.9217754367700408E-2</v>
      </c>
      <c r="K75" s="24"/>
    </row>
    <row r="76" spans="1:11" ht="15" customHeight="1" x14ac:dyDescent="0.4">
      <c r="B76" s="35" t="s">
        <v>95</v>
      </c>
      <c r="C76" s="162">
        <f>C74-C75</f>
        <v>500412</v>
      </c>
      <c r="D76" s="211"/>
      <c r="E76" s="163">
        <f>E74-E75</f>
        <v>500412</v>
      </c>
      <c r="F76" s="211"/>
      <c r="H76" s="163">
        <f>H74-H75</f>
        <v>500412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225142</v>
      </c>
      <c r="D77" s="160">
        <f>C77/$C$74</f>
        <v>0.40977301972404179</v>
      </c>
      <c r="E77" s="239">
        <f>Inputs!E93</f>
        <v>225142</v>
      </c>
      <c r="F77" s="161">
        <f>E77/E74</f>
        <v>0.40977301972404179</v>
      </c>
      <c r="H77" s="239">
        <f>Inputs!F93</f>
        <v>225142</v>
      </c>
      <c r="I77" s="161">
        <f>H77/$H$74</f>
        <v>0.40977301972404179</v>
      </c>
      <c r="K77" s="24"/>
    </row>
    <row r="78" spans="1:11" ht="15" customHeight="1" x14ac:dyDescent="0.4">
      <c r="B78" s="73" t="s">
        <v>172</v>
      </c>
      <c r="C78" s="77">
        <f>MAX(Data!C12,0)</f>
        <v>205.33333333333334</v>
      </c>
      <c r="D78" s="160">
        <f>C78/$C$74</f>
        <v>3.7371996362297238E-4</v>
      </c>
      <c r="E78" s="181">
        <f>E74*F78</f>
        <v>205.33333333333334</v>
      </c>
      <c r="F78" s="161">
        <f>I78</f>
        <v>3.7371996362297238E-4</v>
      </c>
      <c r="H78" s="239">
        <f>Inputs!F97</f>
        <v>205.33333333333334</v>
      </c>
      <c r="I78" s="161">
        <f>H78/$H$74</f>
        <v>3.7371996362297238E-4</v>
      </c>
      <c r="K78" s="24"/>
    </row>
    <row r="79" spans="1:11" ht="15" customHeight="1" x14ac:dyDescent="0.4">
      <c r="B79" s="257" t="s">
        <v>232</v>
      </c>
      <c r="C79" s="258">
        <f>C76-C77-C78</f>
        <v>275064.66666666669</v>
      </c>
      <c r="D79" s="259">
        <f>C79/C74</f>
        <v>0.50063550594463491</v>
      </c>
      <c r="E79" s="260">
        <f>E76-E77-E78</f>
        <v>275064.66666666669</v>
      </c>
      <c r="F79" s="259">
        <f>E79/E74</f>
        <v>0.50063550594463491</v>
      </c>
      <c r="G79" s="261"/>
      <c r="H79" s="260">
        <f>H76-H77-H78</f>
        <v>275064.66666666669</v>
      </c>
      <c r="I79" s="259">
        <f>H79/H74</f>
        <v>0.50063550594463491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216524</v>
      </c>
      <c r="D81" s="160">
        <f>C81/$C$74</f>
        <v>0.39408770164042439</v>
      </c>
      <c r="E81" s="181">
        <f>E74*F81</f>
        <v>216524</v>
      </c>
      <c r="F81" s="161">
        <f>I81</f>
        <v>0.39408770164042439</v>
      </c>
      <c r="H81" s="239">
        <f>Inputs!F94</f>
        <v>216524</v>
      </c>
      <c r="I81" s="161">
        <f>H81/$H$74</f>
        <v>0.39408770164042439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58540.666666666686</v>
      </c>
      <c r="D83" s="165">
        <f>C83/$C$74</f>
        <v>0.10654780430421051</v>
      </c>
      <c r="E83" s="166">
        <f>E79-E81-E82-E80</f>
        <v>58540.666666666686</v>
      </c>
      <c r="F83" s="165">
        <f>E83/E74</f>
        <v>0.10654780430421051</v>
      </c>
      <c r="H83" s="166">
        <f>H79-H81-H82-H80</f>
        <v>58540.666666666686</v>
      </c>
      <c r="I83" s="165">
        <f>H83/$H$74</f>
        <v>0.10654780430421051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43905.500000000015</v>
      </c>
      <c r="D85" s="259">
        <f>C85/$C$74</f>
        <v>7.9910853228157885E-2</v>
      </c>
      <c r="E85" s="265">
        <f>E83*(1-F84)</f>
        <v>43905.500000000015</v>
      </c>
      <c r="F85" s="259">
        <f>E85/E74</f>
        <v>7.9910853228157885E-2</v>
      </c>
      <c r="G85" s="261"/>
      <c r="H85" s="265">
        <f>H83*(1-I84)</f>
        <v>43905.500000000015</v>
      </c>
      <c r="I85" s="259">
        <f>H85/$H$74</f>
        <v>7.9910853228157885E-2</v>
      </c>
      <c r="K85" s="24"/>
    </row>
    <row r="86" spans="1:11" ht="15" customHeight="1" x14ac:dyDescent="0.4">
      <c r="B86" s="87" t="s">
        <v>160</v>
      </c>
      <c r="C86" s="168">
        <f>C85*Data!C4/Common_Shares</f>
        <v>0.44276949942712174</v>
      </c>
      <c r="D86" s="210"/>
      <c r="E86" s="169">
        <f>E85*Data!C4/Common_Shares</f>
        <v>0.44276949942712174</v>
      </c>
      <c r="F86" s="210"/>
      <c r="H86" s="169">
        <f>H85*Data!C4/Common_Shares</f>
        <v>0.44276949942712174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0.10552361756133391</v>
      </c>
      <c r="D87" s="210"/>
      <c r="E87" s="263">
        <f>E86*Exchange_Rate/Dashboard!G3</f>
        <v>0.10552361756133391</v>
      </c>
      <c r="F87" s="210"/>
      <c r="H87" s="263">
        <f>H86*Exchange_Rate/Dashboard!G3</f>
        <v>0.10552361756133391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0.40870000000000001</v>
      </c>
      <c r="D88" s="167">
        <f>C88/C86</f>
        <v>0.92305364422977954</v>
      </c>
      <c r="E88" s="171">
        <f>Inputs!E98</f>
        <v>0.26100000000000001</v>
      </c>
      <c r="F88" s="167">
        <f>E88/E86</f>
        <v>0.58947149778314767</v>
      </c>
      <c r="H88" s="171">
        <f>Inputs!F98</f>
        <v>0.26100000000000001</v>
      </c>
      <c r="I88" s="167">
        <f>H88/H86</f>
        <v>0.58947149778314767</v>
      </c>
      <c r="K88" s="24"/>
    </row>
    <row r="89" spans="1:11" ht="15" customHeight="1" x14ac:dyDescent="0.4">
      <c r="B89" s="87" t="s">
        <v>221</v>
      </c>
      <c r="C89" s="262">
        <f>C88*Exchange_Rate/Dashboard!G3</f>
        <v>9.7403959742298818E-2</v>
      </c>
      <c r="D89" s="210"/>
      <c r="E89" s="262">
        <f>E88*Exchange_Rate/Dashboard!G3</f>
        <v>6.2203164895375571E-2</v>
      </c>
      <c r="F89" s="210"/>
      <c r="H89" s="262">
        <f>H88*Exchange_Rate/Dashboard!G3</f>
        <v>6.2203164895375571E-2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10.891051542485439</v>
      </c>
      <c r="H93" s="87" t="s">
        <v>209</v>
      </c>
      <c r="I93" s="144">
        <f>FV(H87,D93,0,-(H86/C93))*Exchange_Rate</f>
        <v>10.891051542485439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5.2569089483721809</v>
      </c>
      <c r="H94" s="87" t="s">
        <v>210</v>
      </c>
      <c r="I94" s="144">
        <f>FV(H89,D93,0,-(H88/C93))*Exchange_Rate</f>
        <v>5.2569089483721809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536935.15843424806</v>
      </c>
      <c r="D97" s="214"/>
      <c r="E97" s="123">
        <f>PV(C94,D93,0,-F93)</f>
        <v>5.414777449858315</v>
      </c>
      <c r="F97" s="214"/>
      <c r="H97" s="123">
        <f>PV(C94,D93,0,-I93)</f>
        <v>5.414777449858315</v>
      </c>
      <c r="I97" s="123">
        <f>PV(C93,D93,0,-I93)</f>
        <v>7.6930027305425339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536935.15843424806</v>
      </c>
      <c r="D100" s="109">
        <f>MIN(F100*(1-C94),E100)</f>
        <v>4.6025608323795675</v>
      </c>
      <c r="E100" s="109">
        <f>MAX(E97-H98+E99,0)</f>
        <v>5.414777449858315</v>
      </c>
      <c r="F100" s="109">
        <f>(E100+H100)/2</f>
        <v>5.414777449858315</v>
      </c>
      <c r="H100" s="109">
        <f>MAX(C100*Data!$C$4/Common_Shares,0)</f>
        <v>5.4147774498583141</v>
      </c>
      <c r="I100" s="109">
        <f>MAX(I97-H98+H99,0)</f>
        <v>7.6930027305425339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259168.66044180759</v>
      </c>
      <c r="D103" s="109">
        <f>MIN(F103*(1-C94),E103)</f>
        <v>2.2215709044052403</v>
      </c>
      <c r="E103" s="123">
        <f>PV(C94,D93,0,-F94)</f>
        <v>2.6136128287120473</v>
      </c>
      <c r="F103" s="109">
        <f>(E103+H103)/2</f>
        <v>2.6136128287120473</v>
      </c>
      <c r="H103" s="123">
        <f>PV(C94,D93,0,-I94)</f>
        <v>2.6136128287120473</v>
      </c>
      <c r="I103" s="109">
        <f>PV(C93,D93,0,-I94)</f>
        <v>3.7132699938367537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398051.90943802788</v>
      </c>
      <c r="D106" s="109">
        <f>(D100+D103)/2</f>
        <v>3.4120658683924039</v>
      </c>
      <c r="E106" s="123">
        <f>(E100+E103)/2</f>
        <v>4.0141951392851816</v>
      </c>
      <c r="F106" s="109">
        <f>(F100+F103)/2</f>
        <v>4.0141951392851816</v>
      </c>
      <c r="H106" s="123">
        <f>(H100+H103)/2</f>
        <v>4.0141951392851807</v>
      </c>
      <c r="I106" s="123">
        <f>(I100+I103)/2</f>
        <v>5.7031363621896443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