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D7F3D36-238A-4548-B836-4F1AEFF599D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5" i="4" l="1"/>
  <c r="F96" i="4"/>
  <c r="F97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<sst xmlns="http://schemas.openxmlformats.org/spreadsheetml/2006/main" count="390" uniqueCount="269">
  <si>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</si>
  <si>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</si>
  <si>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</si>
  <si>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</si>
  <si>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</si>
  <si>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</si>
  <si>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</si>
  <si>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</si>
  <si>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</si>
  <si>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</si>
  <si>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</si>
  <si>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</si>
  <si>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</si>
  <si>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</si>
  <si>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</si>
  <si>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</si>
  <si>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</si>
  <si>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</si>
  <si>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</si>
  <si>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</si>
  <si>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</si>
  <si>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</si>
  <si>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</si>
  <si>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</si>
  <si>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</si>
  <si>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</si>
  <si>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</si>
  <si>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</si>
  <si>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</si>
  <si>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</si>
  <si>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</si>
  <si>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</si>
  <si>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</si>
  <si>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</si>
  <si>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</si>
  <si>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</si>
  <si>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</si>
  <si>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</si>
  <si>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</si>
  <si>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</si>
  <si>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</si>
  <si>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</si>
  <si>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</si>
  <si>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</si>
  <si>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</si>
  <si>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</si>
  <si>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</si>
  <si>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</si>
  <si>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</si>
  <si>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</si>
  <si>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</si>
  <si>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</si>
  <si>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</si>
  <si>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</si>
  <si>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</si>
  <si>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</si>
  <si>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</si>
  <si>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</si>
  <si>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</si>
  <si>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</si>
  <si>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</si>
  <si>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</si>
  <si>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</si>
  <si>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</si>
  <si>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</si>
  <si>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</si>
  <si>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</si>
  <si>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</si>
  <si>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</si>
  <si>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</si>
  <si>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</si>
  <si>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</si>
  <si>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</si>
  <si>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</si>
  <si>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</si>
  <si>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</si>
  <si>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</si>
  <si>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</si>
  <si>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</si>
  <si>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</si>
  <si>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</si>
  <si>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</si>
  <si>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</si>
  <si>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</si>
  <si>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</si>
  <si>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</si>
  <si>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</si>
  <si>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</si>
  <si>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</si>
  <si>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</si>
  <si>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</si>
  <si>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</si>
  <si>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</si>
  <si>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</si>
  <si>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</si>
  <si>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</si>
  <si>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</si>
  <si>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</si>
  <si>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</si>
  <si>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</si>
  <si>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</si>
  <si>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</si>
  <si>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</si>
  <si>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</si>
  <si>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</si>
  <si>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</si>
  <si>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</si>
  <si>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</si>
  <si>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</si>
  <si>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</si>
  <si>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</si>
  <si>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</si>
  <si>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</si>
  <si>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</si>
  <si>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</si>
  <si>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</si>
  <si>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</si>
  <si>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</si>
  <si>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</si>
  <si>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</si>
  <si>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</si>
  <si>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</si>
  <si>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</si>
  <si>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</si>
  <si>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</si>
  <si>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</si>
  <si>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</si>
  <si>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</si>
  <si>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</si>
  <si>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</si>
  <si>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</si>
  <si>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</si>
  <si>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</si>
  <si>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</si>
  <si>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</si>
  <si>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</si>
  <si>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</si>
  <si>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</si>
  <si>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</si>
  <si>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</si>
  <si>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</si>
  <si>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</si>
  <si>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</si>
  <si>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</si>
  <si>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</si>
  <si>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</si>
  <si>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</si>
  <si>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</si>
  <si>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</si>
  <si>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</si>
  <si>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</si>
  <si>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</si>
  <si>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</si>
  <si>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</si>
  <si>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</si>
  <si>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</si>
  <si>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</si>
  <si>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</si>
  <si>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</si>
  <si>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</si>
  <si>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</si>
  <si>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</si>
  <si>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</si>
  <si>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</si>
  <si>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</si>
  <si>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</si>
  <si>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</si>
  <si>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</si>
  <si>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</si>
  <si>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</si>
  <si>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</si>
  <si>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</si>
  <si>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</si>
  <si>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</si>
  <si>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</si>
  <si>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</si>
  <si>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</si>
  <si>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</si>
  <si>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</si>
  <si>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</si>
  <si>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</si>
  <si>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</si>
  <si>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</si>
  <si>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</si>
  <si>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</si>
  <si>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</si>
  <si>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</si>
  <si>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</si>
  <si>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</si>
  <si>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</si>
  <si>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</si>
  <si>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</si>
  <si>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</si>
  <si>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</si>
  <si>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</si>
  <si>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</si>
  <si>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</si>
  <si>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</si>
  <si>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</si>
  <si>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</si>
  <si>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</si>
  <si>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</si>
  <si>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</si>
  <si>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</si>
  <si>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</si>
  <si>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</si>
  <si>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</si>
  <si>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</si>
  <si>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</si>
  <si>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</si>
  <si>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</si>
  <si>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</si>
  <si>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</si>
  <si>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</si>
  <si>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</si>
  <si>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</si>
  <si>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</si>
  <si>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</si>
  <si>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</si>
  <si>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</si>
  <si>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</si>
  <si>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</si>
  <si>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</si>
  <si>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</si>
  <si>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</si>
  <si>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</si>
  <si>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</si>
  <si>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</si>
  <si>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</si>
  <si>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</si>
  <si>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</si>
  <si>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</si>
  <si>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</si>
  <si>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</si>
  <si>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</si>
  <si>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</si>
  <si>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</si>
  <si>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</si>
  <si>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</si>
  <si>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</si>
  <si>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</si>
  <si>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</si>
  <si>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</si>
  <si>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</si>
  <si>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</si>
  <si>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</si>
  <si>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</si>
  <si>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</si>
  <si>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</si>
  <si>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</si>
  <si>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</si>
  <si>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</si>
  <si>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</si>
  <si>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</si>
  <si>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</si>
  <si>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</si>
  <si>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</si>
  <si>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</si>
  <si>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</si>
  <si>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1766.HK</t>
  </si>
  <si>
    <t>中国中车</t>
  </si>
  <si>
    <t>C0004</t>
  </si>
  <si>
    <t>CNY</t>
  </si>
  <si>
    <t>CN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</si>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</sst>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0.78463553343209413</c:v>
                </c:pt>
                <c:pt idx="1">
                  <c:v>0.16010732347610457</c:v>
                </c:pt>
                <c:pt idx="2">
                  <c:v>1.2515926965280349E-5</c:v>
                </c:pt>
                <c:pt idx="3">
                  <c:v>0</c:v>
                </c:pt>
                <c:pt idx="4">
                  <c:v>0</c:v>
                </c:pt>
                <c:pt idx="5">
                  <c:v>8.8200573996119572E-5</c:v>
                </c:pt>
                <c:pt idx="6">
                  <c:v>5.5156426590839844E-2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259</v>
      </c>
    </row>
    <row r="5" spans="1:5" ht="13.9" x14ac:dyDescent="0.4">
      <c r="B5" s="141" t="s">
        <v>195</v>
      </c>
      <c r="C5" s="192" t="s">
        <v>260</v>
      </c>
    </row>
    <row r="6" spans="1:5" ht="13.9" x14ac:dyDescent="0.4">
      <c r="B6" s="141" t="s">
        <v>163</v>
      </c>
      <c r="C6" s="190">
        <v>45593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70</v>
      </c>
      <c r="E8" s="268"/>
    </row>
    <row r="9" spans="1:5" ht="13.9" x14ac:dyDescent="0.4">
      <c r="B9" s="140" t="s">
        <v>216</v>
      </c>
      <c r="C9" s="193" t="s">
        <v>261</v>
      </c>
    </row>
    <row r="10" spans="1:5" ht="13.9" x14ac:dyDescent="0.4">
      <c r="B10" s="140" t="s">
        <v>217</v>
      </c>
      <c r="C10" s="194">
        <v>28698864088</v>
      </c>
    </row>
    <row r="11" spans="1:5" ht="13.9" x14ac:dyDescent="0.4">
      <c r="B11" s="140" t="s">
        <v>218</v>
      </c>
      <c r="C11" s="193" t="s">
        <v>262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255</v>
      </c>
      <c r="C15" s="177" t="s">
        <v>263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264</v>
      </c>
      <c r="D17" s="24"/>
    </row>
    <row r="18" spans="2:13" ht="13.9" x14ac:dyDescent="0.4">
      <c r="B18" s="241" t="s">
        <v>238</v>
      </c>
      <c r="C18" s="243" t="s">
        <v>245</v>
      </c>
      <c r="D18" s="24"/>
    </row>
    <row r="19" spans="2:13" ht="13.9" x14ac:dyDescent="0.4">
      <c r="B19" s="241" t="s">
        <v>239</v>
      </c>
      <c r="C19" s="243" t="s">
        <v>265</v>
      </c>
      <c r="D19" s="24"/>
    </row>
    <row r="20" spans="2:13" ht="13.9" x14ac:dyDescent="0.4">
      <c r="B20" s="242" t="s">
        <v>228</v>
      </c>
      <c r="C20" s="243" t="s">
        <v>265</v>
      </c>
      <c r="D20" s="24"/>
    </row>
    <row r="21" spans="2:13" ht="13.9" x14ac:dyDescent="0.4">
      <c r="B21" s="225" t="s">
        <v>231</v>
      </c>
      <c r="C21" s="243" t="s">
        <v>264</v>
      </c>
      <c r="D21" s="24"/>
    </row>
    <row r="22" spans="2:13" ht="78.75" x14ac:dyDescent="0.4">
      <c r="B22" s="227" t="s">
        <v>230</v>
      </c>
      <c r="C22" s="244" t="s">
        <v>266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234261514</v>
      </c>
      <c r="D25" s="150">
        <v>222938637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183809908</v>
      </c>
      <c r="D26" s="151">
        <v>177260463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37506984</v>
      </c>
      <c r="D27" s="151">
        <v>599182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256</v>
      </c>
      <c r="C29" s="151">
        <v>0</v>
      </c>
      <c r="D29" s="151">
        <v>0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2199</v>
      </c>
      <c r="D30" s="151">
        <v>645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>
        <v>-169280</v>
      </c>
      <c r="D31" s="151">
        <v>-50846</v>
      </c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>
        <v>35974</v>
      </c>
      <c r="D32" s="151">
        <v>32106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>
        <v>15312</v>
      </c>
      <c r="D33" s="151">
        <v>11600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>
        <v>3160304</v>
      </c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>
        <v>131280367</v>
      </c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>
        <v>66848740</v>
      </c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>
        <v>734909</v>
      </c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>
        <v>18682</v>
      </c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>
        <v>6202</v>
      </c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>
        <v>10412</v>
      </c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>
        <v>2824568</v>
      </c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>
        <v>7297</v>
      </c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>
        <v>2868641</v>
      </c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v>0.2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252</v>
      </c>
      <c r="C45" s="153">
        <f>IF(C44="","",C44*Exchange_Rate/Dashboard!$G$3)</f>
        <v>4.5443574587504067E-2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>
        <v>47742240</v>
      </c>
      <c r="D48" s="60">
        <v>0.9</v>
      </c>
      <c r="E48" s="112"/>
    </row>
    <row r="49" spans="2:5" ht="13.9" x14ac:dyDescent="0.4">
      <c r="B49" s="1" t="s">
        <v>135</v>
      </c>
      <c r="C49" s="59">
        <v>0</v>
      </c>
      <c r="D49" s="60">
        <v>0.8</v>
      </c>
      <c r="E49" s="112"/>
    </row>
    <row r="50" spans="2:5" ht="13.9" x14ac:dyDescent="0.4">
      <c r="B50" s="3" t="s">
        <v>116</v>
      </c>
      <c r="C50" s="59">
        <v>121633388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7768559</v>
      </c>
      <c r="D51" s="60">
        <v>0.6</v>
      </c>
      <c r="E51" s="112"/>
    </row>
    <row r="52" spans="2:5" ht="13.9" x14ac:dyDescent="0.4">
      <c r="B52" s="3" t="s">
        <v>43</v>
      </c>
      <c r="C52" s="59">
        <v>0</v>
      </c>
      <c r="D52" s="60">
        <v>0.5</v>
      </c>
      <c r="E52" s="112"/>
    </row>
    <row r="53" spans="2:5" ht="13.9" x14ac:dyDescent="0.4">
      <c r="B53" s="1" t="s">
        <v>158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117</v>
      </c>
      <c r="C54" s="59">
        <v>44533603</v>
      </c>
      <c r="D54" s="60">
        <v>0.1</v>
      </c>
      <c r="E54" s="112"/>
    </row>
    <row r="55" spans="2:5" ht="13.9" x14ac:dyDescent="0.4">
      <c r="B55" s="3" t="s">
        <v>46</v>
      </c>
      <c r="C55" s="59">
        <v>86201047</v>
      </c>
      <c r="D55" s="60">
        <f>D52</f>
        <v>0.5</v>
      </c>
      <c r="E55" s="112"/>
    </row>
    <row r="56" spans="2:5" ht="13.9" x14ac:dyDescent="0.4">
      <c r="B56" s="1" t="s">
        <v>47</v>
      </c>
      <c r="C56" s="59">
        <v>0</v>
      </c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>
        <v>0</v>
      </c>
      <c r="D57" s="60">
        <v>0.6</v>
      </c>
      <c r="E57" s="222" t="s">
        <v>45</v>
      </c>
    </row>
    <row r="58" spans="2:5" ht="13.9" x14ac:dyDescent="0.4">
      <c r="B58" s="3" t="s">
        <v>49</v>
      </c>
      <c r="C58" s="59">
        <v>0</v>
      </c>
      <c r="D58" s="60">
        <f>D48</f>
        <v>0.9</v>
      </c>
      <c r="E58" s="112"/>
    </row>
    <row r="59" spans="2:5" ht="13.9" x14ac:dyDescent="0.4">
      <c r="B59" s="35" t="s">
        <v>50</v>
      </c>
      <c r="C59" s="120">
        <v>11709109</v>
      </c>
      <c r="D59" s="196">
        <f>D70</f>
        <v>0.05</v>
      </c>
      <c r="E59" s="112"/>
    </row>
    <row r="60" spans="2:5" ht="13.9" x14ac:dyDescent="0.4">
      <c r="B60" s="3" t="s">
        <v>60</v>
      </c>
      <c r="C60" s="59">
        <v>0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v>2881955</v>
      </c>
      <c r="D61" s="60">
        <f>D51</f>
        <v>0.6</v>
      </c>
      <c r="E61" s="112"/>
    </row>
    <row r="62" spans="2:5" ht="13.9" x14ac:dyDescent="0.4">
      <c r="B62" s="3" t="s">
        <v>64</v>
      </c>
      <c r="C62" s="59">
        <v>821946</v>
      </c>
      <c r="D62" s="60">
        <f>D52</f>
        <v>0.5</v>
      </c>
      <c r="E62" s="112"/>
    </row>
    <row r="63" spans="2:5" ht="13.9" x14ac:dyDescent="0.4">
      <c r="B63" s="1" t="s">
        <v>159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67</v>
      </c>
      <c r="C64" s="59">
        <v>7301425</v>
      </c>
      <c r="D64" s="60">
        <v>0.4</v>
      </c>
      <c r="E64" s="112"/>
    </row>
    <row r="65" spans="2:5" ht="13.9" x14ac:dyDescent="0.4">
      <c r="B65" s="3" t="s">
        <v>69</v>
      </c>
      <c r="C65" s="59">
        <v>21620835</v>
      </c>
      <c r="D65" s="60">
        <v>0.1</v>
      </c>
      <c r="E65" s="222" t="s">
        <v>70</v>
      </c>
    </row>
    <row r="66" spans="2:5" ht="13.9" x14ac:dyDescent="0.4">
      <c r="B66" s="3" t="s">
        <v>71</v>
      </c>
      <c r="C66" s="59">
        <v>805212</v>
      </c>
      <c r="D66" s="60">
        <v>0.2</v>
      </c>
      <c r="E66" s="222" t="s">
        <v>70</v>
      </c>
    </row>
    <row r="67" spans="2:5" ht="13.9" x14ac:dyDescent="0.4">
      <c r="B67" s="1" t="s">
        <v>48</v>
      </c>
      <c r="C67" s="59">
        <v>6765810</v>
      </c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>
        <v>60750263</v>
      </c>
      <c r="D68" s="60">
        <f>D65</f>
        <v>0.1</v>
      </c>
      <c r="E68" s="112"/>
    </row>
    <row r="69" spans="2:5" ht="13.9" x14ac:dyDescent="0.4">
      <c r="B69" s="3" t="s">
        <v>72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73</v>
      </c>
      <c r="C70" s="59">
        <v>17178235</v>
      </c>
      <c r="D70" s="60">
        <v>0.05</v>
      </c>
      <c r="E70" s="112"/>
    </row>
    <row r="71" spans="2:5" ht="13.9" x14ac:dyDescent="0.4">
      <c r="B71" s="3" t="s">
        <v>74</v>
      </c>
      <c r="C71" s="59">
        <v>4163174</v>
      </c>
      <c r="D71" s="60">
        <f>D58</f>
        <v>0.9</v>
      </c>
      <c r="E71" s="112"/>
    </row>
    <row r="72" spans="2:5" ht="14.25" thickBot="1" x14ac:dyDescent="0.45">
      <c r="B72" s="247" t="s">
        <v>75</v>
      </c>
      <c r="C72" s="248">
        <v>37623092</v>
      </c>
      <c r="D72" s="249">
        <v>0</v>
      </c>
      <c r="E72" s="250"/>
    </row>
    <row r="73" spans="2:5" ht="13.9" x14ac:dyDescent="0.4">
      <c r="B73" s="3" t="s">
        <v>38</v>
      </c>
      <c r="C73" s="59">
        <v>12970041</v>
      </c>
    </row>
    <row r="74" spans="2:5" ht="13.9" x14ac:dyDescent="0.4">
      <c r="B74" s="3" t="s">
        <v>39</v>
      </c>
      <c r="C74" s="59">
        <v>13416</v>
      </c>
    </row>
    <row r="75" spans="2:5" ht="13.9" x14ac:dyDescent="0.4">
      <c r="B75" s="3" t="s">
        <v>40</v>
      </c>
      <c r="C75" s="59">
        <v>0</v>
      </c>
    </row>
    <row r="76" spans="2:5" ht="13.9" x14ac:dyDescent="0.4">
      <c r="B76" s="86" t="s">
        <v>42</v>
      </c>
      <c r="C76" s="120">
        <v>9668</v>
      </c>
    </row>
    <row r="77" spans="2:5" ht="14.25" thickBot="1" x14ac:dyDescent="0.45">
      <c r="B77" s="80" t="s">
        <v>15</v>
      </c>
      <c r="C77" s="83">
        <v>255569971</v>
      </c>
    </row>
    <row r="78" spans="2:5" ht="14.25" thickTop="1" x14ac:dyDescent="0.4">
      <c r="B78" s="3" t="s">
        <v>61</v>
      </c>
      <c r="C78" s="59">
        <v>6315552</v>
      </c>
    </row>
    <row r="79" spans="2:5" ht="13.9" x14ac:dyDescent="0.4">
      <c r="B79" s="3" t="s">
        <v>63</v>
      </c>
      <c r="C79" s="59">
        <v>1694399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24023311</v>
      </c>
    </row>
    <row r="83" spans="2:8" ht="14.25" thickTop="1" x14ac:dyDescent="0.4">
      <c r="B83" s="73" t="s">
        <v>220</v>
      </c>
      <c r="C83" s="59">
        <v>160389894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267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234261514</v>
      </c>
      <c r="D91" s="210"/>
      <c r="E91" s="252">
        <f>C91</f>
        <v>234261514</v>
      </c>
      <c r="F91" s="252">
        <f>C91</f>
        <v>234261514</v>
      </c>
    </row>
    <row r="92" spans="2:8" ht="13.9" x14ac:dyDescent="0.4">
      <c r="B92" s="104" t="s">
        <v>105</v>
      </c>
      <c r="C92" s="77">
        <f>C26</f>
        <v>183809908</v>
      </c>
      <c r="D92" s="160">
        <f>C92/C91</f>
        <v>0.78463553343209413</v>
      </c>
      <c r="E92" s="253">
        <f>E91*D92</f>
        <v>183809908</v>
      </c>
      <c r="F92" s="253">
        <f>F91*D92</f>
        <v>183809908</v>
      </c>
    </row>
    <row r="93" spans="2:8" ht="13.9" x14ac:dyDescent="0.4">
      <c r="B93" s="104" t="s">
        <v>247</v>
      </c>
      <c r="C93" s="77">
        <f>C27+C28</f>
        <v>37506984</v>
      </c>
      <c r="D93" s="160">
        <f>C93/C91</f>
        <v>0.16010732347610457</v>
      </c>
      <c r="E93" s="253">
        <f>E91*D93</f>
        <v>37506984</v>
      </c>
      <c r="F93" s="253">
        <f>F91*D93</f>
        <v>37506984</v>
      </c>
    </row>
    <row r="94" spans="2:8" ht="13.9" x14ac:dyDescent="0.4">
      <c r="B94" s="104" t="s">
        <v>256</v>
      </c>
      <c r="C94" s="77">
        <f>C29</f>
        <v>0</v>
      </c>
      <c r="D94" s="160">
        <f>C94/C91</f>
        <v>0</v>
      </c>
      <c r="E94" s="254"/>
      <c r="F94" s="253">
        <f>F91*D94</f>
        <v>0</v>
      </c>
    </row>
    <row r="95" spans="2:8" ht="13.9" x14ac:dyDescent="0.4">
      <c r="B95" s="28" t="s">
        <v>246</v>
      </c>
      <c r="C95" s="77">
        <f>ABS(MAX(C33,0)-C32)</f>
        <v>20662</v>
      </c>
      <c r="D95" s="160">
        <f>C95/C91</f>
        <v>8.8200573996119572E-5</v>
      </c>
      <c r="E95" s="253">
        <f>E91*D95</f>
        <v>20662</v>
      </c>
      <c r="F95" s="253">
        <f>F91*D95</f>
        <v>20662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2932</v>
      </c>
      <c r="D97" s="160">
        <f>C97/C91</f>
        <v>1.2515926965280349E-5</v>
      </c>
      <c r="E97" s="254"/>
      <c r="F97" s="253">
        <f>F91*D97</f>
        <v>2932</v>
      </c>
    </row>
    <row r="98" spans="2:7" ht="13.9" x14ac:dyDescent="0.4">
      <c r="B98" s="86" t="s">
        <v>207</v>
      </c>
      <c r="C98" s="238">
        <f>C44</f>
        <v>0.2</v>
      </c>
      <c r="D98" s="267"/>
      <c r="E98" s="255">
        <f>F98</f>
        <v>0.2</v>
      </c>
      <c r="F98" s="255">
        <f>C98</f>
        <v>0.2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1766.HK : 中国中车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1766.HK</v>
      </c>
      <c r="D3" s="277"/>
      <c r="E3" s="87"/>
      <c r="F3" s="3" t="s">
        <v>1</v>
      </c>
      <c r="G3" s="132">
        <v>4.72</v>
      </c>
      <c r="H3" s="134" t="s">
        <v>268</v>
      </c>
    </row>
    <row r="4" spans="1:10" ht="15.75" customHeight="1" x14ac:dyDescent="0.4">
      <c r="B4" s="35" t="s">
        <v>195</v>
      </c>
      <c r="C4" s="278" t="str">
        <f>Inputs!C5</f>
        <v>中国中车</v>
      </c>
      <c r="D4" s="279"/>
      <c r="E4" s="87"/>
      <c r="F4" s="3" t="s">
        <v>2</v>
      </c>
      <c r="G4" s="282">
        <f>Inputs!C10</f>
        <v>28698864088</v>
      </c>
      <c r="H4" s="282"/>
      <c r="I4" s="39"/>
    </row>
    <row r="5" spans="1:10" ht="15.75" customHeight="1" x14ac:dyDescent="0.4">
      <c r="B5" s="3" t="s">
        <v>163</v>
      </c>
      <c r="C5" s="280">
        <f>Inputs!C6</f>
        <v>45593</v>
      </c>
      <c r="D5" s="281"/>
      <c r="E5" s="34"/>
      <c r="F5" s="35" t="s">
        <v>99</v>
      </c>
      <c r="G5" s="274">
        <f>G3*G4/1000000</f>
        <v>135458.63849535998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N</v>
      </c>
      <c r="D7" s="188" t="str">
        <f>Inputs!C9</f>
        <v>C0004</v>
      </c>
      <c r="E7" s="87"/>
      <c r="F7" s="35" t="s">
        <v>5</v>
      </c>
      <c r="G7" s="133">
        <v>1.072468360265096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253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254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0.78463553343209413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0.16010732347610457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1.2515926965280349E-5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>
        <f>G3/(Data!C36*Data!C4/Common_Shares*Exchange_Rate)</f>
        <v>0.63182246115257013</v>
      </c>
    </row>
    <row r="24" spans="1:8" ht="15.75" customHeight="1" x14ac:dyDescent="0.4">
      <c r="B24" s="137" t="s">
        <v>170</v>
      </c>
      <c r="C24" s="172">
        <f>Fin_Analysis!I81</f>
        <v>0</v>
      </c>
      <c r="F24" s="140" t="s">
        <v>258</v>
      </c>
      <c r="G24" s="269">
        <f>G3/(Fin_Analysis!H86*G7)</f>
        <v>13.033584940010391</v>
      </c>
    </row>
    <row r="25" spans="1:8" ht="15.75" customHeight="1" x14ac:dyDescent="0.4">
      <c r="B25" s="137" t="s">
        <v>243</v>
      </c>
      <c r="C25" s="172">
        <f>Fin_Analysis!I82</f>
        <v>8.8200573996119572E-5</v>
      </c>
      <c r="F25" s="140" t="s">
        <v>174</v>
      </c>
      <c r="G25" s="172">
        <f>Fin_Analysis!I88</f>
        <v>0.59229268936393198</v>
      </c>
    </row>
    <row r="26" spans="1:8" ht="15.75" customHeight="1" x14ac:dyDescent="0.4">
      <c r="B26" s="138" t="s">
        <v>173</v>
      </c>
      <c r="C26" s="172">
        <f>Fin_Analysis!I83</f>
        <v>5.5156426590839844E-2</v>
      </c>
      <c r="F26" s="141" t="s">
        <v>193</v>
      </c>
      <c r="G26" s="179">
        <f>Fin_Analysis!H88*Exchange_Rate/G3</f>
        <v>4.5443574587504067E-2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257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1.5722250099109869</v>
      </c>
      <c r="D29" s="129">
        <f>G29*(1+G20)</f>
        <v>3.0221004121355772</v>
      </c>
      <c r="E29" s="87"/>
      <c r="F29" s="131">
        <f>IF(Fin_Analysis!C108="Profit",Fin_Analysis!F100,IF(Fin_Analysis!C108="Dividend",Fin_Analysis!F103,Fin_Analysis!F106))</f>
        <v>1.8496764822482199</v>
      </c>
      <c r="G29" s="273">
        <f>IF(Fin_Analysis!C108="Profit",Fin_Analysis!I100,IF(Fin_Analysis!C108="Dividend",Fin_Analysis!I103,Fin_Analysis!I106))</f>
        <v>2.627913401857024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Strongly agree</v>
      </c>
    </row>
    <row r="34" spans="1:3" ht="15.75" customHeight="1" x14ac:dyDescent="0.4">
      <c r="A34"/>
      <c r="B34" s="19" t="s">
        <v>225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12941690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234261514</v>
      </c>
      <c r="D6" s="201">
        <f>IF(Inputs!D25="","",Inputs!D25)</f>
        <v>222938637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5.078920887095939E-2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183809908</v>
      </c>
      <c r="D8" s="200">
        <f>IF(Inputs!D26="","",Inputs!D26)</f>
        <v>177260463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50451606</v>
      </c>
      <c r="D9" s="152">
        <f t="shared" si="2"/>
        <v>45678174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37506984</v>
      </c>
      <c r="D10" s="200">
        <f>IF(Inputs!D27="","",Inputs!D27)</f>
        <v>599182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2932</v>
      </c>
      <c r="D12" s="200">
        <f>IF(Inputs!D30="","",MAX(Inputs!D30,0)/(1-Fin_Analysis!$I$84))</f>
        <v>860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5.5244627164835962E-2</v>
      </c>
      <c r="D13" s="230">
        <f t="shared" si="3"/>
        <v>0.20219972906715133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12941690</v>
      </c>
      <c r="D14" s="231">
        <f t="shared" ref="D14:M14" si="4">IF(D6="","",D9-D10-MAX(D11,0)-MAX(D12,0))</f>
        <v>45078132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-0.71290536173947938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>
        <f>IF(Inputs!C31="","",Inputs!C31)</f>
        <v>-169280</v>
      </c>
      <c r="D16" s="200">
        <f>IF(Inputs!D31="","",Inputs!D31)</f>
        <v>-50846</v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200">
        <f>IF(Inputs!C29="","",Inputs!C29)</f>
        <v>0</v>
      </c>
      <c r="D17" s="200">
        <f>IF(Inputs!D29="","",Inputs!D29)</f>
        <v>0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>
        <f t="shared" ref="C18:M18" si="6">IF(OR(C6="",C19=""),"",C19/C6)</f>
        <v>1.5356342314085786E-4</v>
      </c>
      <c r="D18" s="153">
        <f t="shared" si="6"/>
        <v>1.4401272220929565E-4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>
        <f>IF(Inputs!C32="","",Inputs!C32)</f>
        <v>35974</v>
      </c>
      <c r="D19" s="200">
        <f>IF(Inputs!D32="","",Inputs!D32)</f>
        <v>32106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6.5362849144738304E-5</v>
      </c>
      <c r="D20" s="153">
        <f t="shared" si="7"/>
        <v>5.2032254956326836E-5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>
        <f>IF(Inputs!C33="","",Inputs!C33)</f>
        <v>15312</v>
      </c>
      <c r="D21" s="200">
        <f>IF(Inputs!D33="","",Inputs!D33)</f>
        <v>11600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12921028</v>
      </c>
      <c r="D22" s="162">
        <f t="shared" ref="D22:M22" si="8">IF(D6="","",D14-MAX(D16,0)-MAX(D17,0)-ABS(MAX(D21,0)-MAX(D19,0)))</f>
        <v>45057626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4.1367319943129879E-2</v>
      </c>
      <c r="D23" s="154">
        <f t="shared" si="9"/>
        <v>0.15158081144992377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9690771</v>
      </c>
      <c r="D24" s="77">
        <f>IF(D6="","",D22*(1-Fin_Analysis!$I$84))</f>
        <v>33793219.5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-0.71323327154431082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479499893</v>
      </c>
      <c r="D27" s="65">
        <f t="shared" ref="D27:M27" si="20">IF(D36="","",D36+D31+D32)</f>
        <v>3578159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319587946</v>
      </c>
      <c r="D28" s="200">
        <f>IF(Inputs!D34="","",Inputs!D34)</f>
        <v>3160304</v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121633388</v>
      </c>
      <c r="D29" s="200">
        <f>IF(Inputs!D35="","",Inputs!D35)</f>
        <v>131280367</v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86201047</v>
      </c>
      <c r="D30" s="200">
        <f>IF(Inputs!D36="","",Inputs!D36)</f>
        <v>66848740</v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255569971</v>
      </c>
      <c r="D31" s="200">
        <f>IF(Inputs!D37="","",Inputs!D37)</f>
        <v>734909</v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24023311</v>
      </c>
      <c r="D32" s="200">
        <f>IF(Inputs!D38="","",Inputs!D38)</f>
        <v>18682</v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12993125</v>
      </c>
      <c r="D33" s="200">
        <f>IF(Inputs!D39="","",Inputs!D39)</f>
        <v>6202</v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8009951</v>
      </c>
      <c r="D34" s="200">
        <f>IF(Inputs!D40="","",Inputs!D40)</f>
        <v>10412</v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21003076</v>
      </c>
      <c r="D35" s="77">
        <f t="shared" ref="D35" si="22">IF(OR(D33="",D34=""),"",D33+D34)</f>
        <v>16614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199906611</v>
      </c>
      <c r="D36" s="200">
        <f>IF(Inputs!D41="","",Inputs!D41)</f>
        <v>2824568</v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39516717</v>
      </c>
      <c r="D37" s="200">
        <f>IF(Inputs!D42="","",Inputs!D42)</f>
        <v>7297</v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81640747</v>
      </c>
      <c r="D38" s="200">
        <f>IF(Inputs!D43="","",Inputs!D43)</f>
        <v>2868641</v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397859146</v>
      </c>
      <c r="D39" s="65">
        <f>IF(D38="","",D27-D38)</f>
        <v>709518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>
        <f>IF(C6="","",C14/MAX(C39,0))</f>
        <v>3.2528320965128699E-2</v>
      </c>
      <c r="D40" s="156">
        <f>IF(D6="","",D14/MAX(D39,0))</f>
        <v>63.533457924957503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0.78463553343209413</v>
      </c>
      <c r="D42" s="157">
        <f t="shared" si="34"/>
        <v>0.79510875900797762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0.16010732347610457</v>
      </c>
      <c r="D43" s="154">
        <f t="shared" si="35"/>
        <v>2.6876543611415371E-3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0</v>
      </c>
      <c r="D45" s="154">
        <f t="shared" si="37"/>
        <v>0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1.2515926965280349E-5</v>
      </c>
      <c r="D46" s="154">
        <f t="shared" ref="D46:M46" si="38">IF(D6="","",MAX(D12,0)/D6)</f>
        <v>3.8575637295207831E-6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8.8200573996119572E-5</v>
      </c>
      <c r="D47" s="154">
        <f t="shared" ref="D47:M47" si="39">IF(D6="","",ABS(MAX(D21,0)-MAX(D19,0))/D6)</f>
        <v>9.1980467252968803E-5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5.5156426590839844E-2</v>
      </c>
      <c r="D48" s="154">
        <f t="shared" si="40"/>
        <v>0.20210774859989836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0.51922053231500931</v>
      </c>
      <c r="D50" s="157">
        <f t="shared" si="41"/>
        <v>0.58886323504346172</v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0.36796930715644566</v>
      </c>
      <c r="D51" s="154">
        <f t="shared" si="42"/>
        <v>0.29985264510251758</v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>
        <f>IF(C36="","",(C27-C36)/C27)</f>
        <v>0.58309352323463393</v>
      </c>
      <c r="D53" s="157">
        <f t="shared" ref="D53:M53" si="43">IF(D36="","",(D27-D36)/D27)</f>
        <v>0.21060858391144721</v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>
        <f t="shared" ref="C54:M54" si="44">IF(OR(C22="",C35=""),"",IF(C35&lt;=0,"-",C22/C35))</f>
        <v>0.61519693591548208</v>
      </c>
      <c r="D54" s="158">
        <f t="shared" si="44"/>
        <v>2712.0275671120739</v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 t="str">
        <f t="shared" ref="C55:M55" si="45">IF(C22="","",IF(MAX(C17,0)&lt;=0,"-",C17/C22))</f>
        <v>-</v>
      </c>
      <c r="D55" s="154" t="str">
        <f t="shared" si="45"/>
        <v>-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>
        <f t="shared" ref="C56:M56" si="46">IF(C28="","",C28/C31)</f>
        <v>1.250490989804119</v>
      </c>
      <c r="D56" s="159">
        <f t="shared" si="46"/>
        <v>4.3002657471877468</v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199906611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160389894</v>
      </c>
      <c r="K3" s="24"/>
    </row>
    <row r="4" spans="1:11" ht="15" customHeight="1" x14ac:dyDescent="0.4">
      <c r="B4" s="3" t="s">
        <v>24</v>
      </c>
      <c r="C4" s="87"/>
      <c r="D4" s="65">
        <f>D3-I3</f>
        <v>39516717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1.250490989804119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-141158562.27492887</v>
      </c>
      <c r="E6" s="56">
        <f>1-D6/D3</f>
        <v>1.7061225317602371</v>
      </c>
      <c r="F6" s="87"/>
      <c r="G6" s="87"/>
      <c r="H6" s="1" t="s">
        <v>29</v>
      </c>
      <c r="I6" s="63">
        <f>(C24+C25)/I28</f>
        <v>0.86738590270450822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0.69313380717956097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47742240</v>
      </c>
      <c r="D11" s="199">
        <f>Inputs!D48</f>
        <v>0.9</v>
      </c>
      <c r="E11" s="88">
        <f t="shared" ref="E11:E22" si="0">C11*D11</f>
        <v>42968016</v>
      </c>
      <c r="F11" s="112"/>
      <c r="G11" s="87"/>
      <c r="H11" s="3" t="s">
        <v>38</v>
      </c>
      <c r="I11" s="40">
        <f>Inputs!C73</f>
        <v>12970041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13416</v>
      </c>
      <c r="J12" s="87"/>
      <c r="K12" s="24"/>
    </row>
    <row r="13" spans="1:11" ht="13.9" x14ac:dyDescent="0.4">
      <c r="B13" s="3" t="s">
        <v>116</v>
      </c>
      <c r="C13" s="40">
        <f>Inputs!C50</f>
        <v>121633388</v>
      </c>
      <c r="D13" s="199">
        <f>Inputs!D50</f>
        <v>0.6</v>
      </c>
      <c r="E13" s="88">
        <f t="shared" si="0"/>
        <v>72980032.799999997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7768559</v>
      </c>
      <c r="D14" s="199">
        <f>Inputs!D51</f>
        <v>0.6</v>
      </c>
      <c r="E14" s="88">
        <f t="shared" si="0"/>
        <v>4661135.3999999994</v>
      </c>
      <c r="F14" s="112"/>
      <c r="G14" s="87"/>
      <c r="H14" s="86" t="s">
        <v>42</v>
      </c>
      <c r="I14" s="206">
        <f>Inputs!C76</f>
        <v>9668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12993125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44533603</v>
      </c>
      <c r="D17" s="199">
        <f>Inputs!D54</f>
        <v>0.1</v>
      </c>
      <c r="E17" s="88">
        <f t="shared" si="0"/>
        <v>4453360.3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86201047</v>
      </c>
      <c r="D18" s="199">
        <f>Inputs!D55</f>
        <v>0.5</v>
      </c>
      <c r="E18" s="88">
        <f t="shared" si="0"/>
        <v>43100523.5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11709109</v>
      </c>
      <c r="D22" s="199">
        <f>Inputs!D59</f>
        <v>0.05</v>
      </c>
      <c r="E22" s="88">
        <f t="shared" si="0"/>
        <v>585455.45000000007</v>
      </c>
      <c r="F22" s="112"/>
      <c r="G22" s="87"/>
      <c r="H22" s="3" t="s">
        <v>44</v>
      </c>
      <c r="I22" s="52">
        <f>I28-SUM(I11:I14)</f>
        <v>242576846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177144187</v>
      </c>
      <c r="D24" s="62">
        <f>IF(E24=0,0,E24/C24)</f>
        <v>0.68085318656265026</v>
      </c>
      <c r="E24" s="88">
        <f>SUM(E11:E14)</f>
        <v>120609184.2</v>
      </c>
      <c r="F24" s="113">
        <f>E24/$E$28</f>
        <v>0.71472734536688487</v>
      </c>
      <c r="G24" s="87"/>
    </row>
    <row r="25" spans="2:10" ht="15" customHeight="1" x14ac:dyDescent="0.4">
      <c r="B25" s="23" t="s">
        <v>54</v>
      </c>
      <c r="C25" s="61">
        <f>SUM(C15:C17)</f>
        <v>44533603</v>
      </c>
      <c r="D25" s="62">
        <f>IF(E25=0,0,E25/C25)</f>
        <v>9.9999999999999992E-2</v>
      </c>
      <c r="E25" s="88">
        <f>SUM(E15:E17)</f>
        <v>4453360.3</v>
      </c>
      <c r="F25" s="113">
        <f>E25/$E$28</f>
        <v>2.6390514174303433E-2</v>
      </c>
      <c r="G25" s="87"/>
      <c r="H25" s="23" t="s">
        <v>55</v>
      </c>
      <c r="I25" s="63">
        <f>E28/I28</f>
        <v>0.66028306373286705</v>
      </c>
    </row>
    <row r="26" spans="2:10" ht="15" customHeight="1" x14ac:dyDescent="0.4">
      <c r="B26" s="23" t="s">
        <v>56</v>
      </c>
      <c r="C26" s="61">
        <f>C18+C19+C20</f>
        <v>86201047</v>
      </c>
      <c r="D26" s="62">
        <f>IF(E26=0,0,E26/C26)</f>
        <v>0.5</v>
      </c>
      <c r="E26" s="88">
        <f>E18+E19+E20</f>
        <v>43100523.5</v>
      </c>
      <c r="F26" s="113">
        <f>E26/$E$28</f>
        <v>0.25541274447222434</v>
      </c>
      <c r="G26" s="87"/>
      <c r="H26" s="23" t="s">
        <v>57</v>
      </c>
      <c r="I26" s="63">
        <f>E24/($I$28-I22)</f>
        <v>9.2825385886767044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11709109</v>
      </c>
      <c r="D27" s="62">
        <f>IF(E27=0,0,E27/C27)</f>
        <v>0.05</v>
      </c>
      <c r="E27" s="88">
        <f>E21+E22</f>
        <v>585455.45000000007</v>
      </c>
      <c r="F27" s="113">
        <f>E27/$E$28</f>
        <v>3.4693959865875206E-3</v>
      </c>
      <c r="G27" s="87"/>
      <c r="H27" s="23" t="s">
        <v>59</v>
      </c>
      <c r="I27" s="63">
        <f>(E25+E24)/$I$28</f>
        <v>0.48934757088500042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319587946</v>
      </c>
      <c r="D28" s="57">
        <f>E28/C28</f>
        <v>0.52801904941058064</v>
      </c>
      <c r="E28" s="70">
        <f>SUM(E24:E27)</f>
        <v>168748523.44999999</v>
      </c>
      <c r="F28" s="112"/>
      <c r="G28" s="87"/>
      <c r="H28" s="78" t="s">
        <v>15</v>
      </c>
      <c r="I28" s="207">
        <f>Inputs!C77</f>
        <v>255569971</v>
      </c>
      <c r="J28" s="32">
        <f>IF(J26="",1,0)+IF(J27="",1,0)+IF(J46="",1,0)+IF(J47="",1,0)</f>
        <v>2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6315552</v>
      </c>
      <c r="J30" s="87"/>
    </row>
    <row r="31" spans="2:10" ht="15" customHeight="1" x14ac:dyDescent="0.4">
      <c r="B31" s="3" t="s">
        <v>62</v>
      </c>
      <c r="C31" s="40">
        <f>Inputs!C61</f>
        <v>2881955</v>
      </c>
      <c r="D31" s="199">
        <f>Inputs!D61</f>
        <v>0.6</v>
      </c>
      <c r="E31" s="88">
        <f t="shared" ref="E31:E42" si="1">C31*D31</f>
        <v>1729173</v>
      </c>
      <c r="F31" s="112"/>
      <c r="G31" s="87"/>
      <c r="H31" s="3" t="s">
        <v>63</v>
      </c>
      <c r="I31" s="40">
        <f>Inputs!C79</f>
        <v>1694399</v>
      </c>
      <c r="J31" s="87"/>
    </row>
    <row r="32" spans="2:10" ht="15" customHeight="1" x14ac:dyDescent="0.4">
      <c r="B32" s="3" t="s">
        <v>64</v>
      </c>
      <c r="C32" s="40">
        <f>Inputs!C62</f>
        <v>821946</v>
      </c>
      <c r="D32" s="199">
        <f>Inputs!D62</f>
        <v>0.5</v>
      </c>
      <c r="E32" s="88">
        <f t="shared" si="1"/>
        <v>410973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7301425</v>
      </c>
      <c r="D34" s="199">
        <f>Inputs!D64</f>
        <v>0.4</v>
      </c>
      <c r="E34" s="88">
        <f t="shared" si="1"/>
        <v>2920570</v>
      </c>
      <c r="F34" s="112"/>
      <c r="G34" s="87"/>
      <c r="H34" s="1" t="s">
        <v>77</v>
      </c>
      <c r="I34" s="84">
        <f>SUM(I30:I33)</f>
        <v>8009951</v>
      </c>
      <c r="J34" s="87"/>
    </row>
    <row r="35" spans="2:10" ht="13.9" x14ac:dyDescent="0.4">
      <c r="B35" s="3" t="s">
        <v>69</v>
      </c>
      <c r="C35" s="40">
        <f>Inputs!C65</f>
        <v>21620835</v>
      </c>
      <c r="D35" s="199">
        <f>Inputs!D65</f>
        <v>0.1</v>
      </c>
      <c r="E35" s="88">
        <f t="shared" si="1"/>
        <v>2162083.5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805212</v>
      </c>
      <c r="D36" s="199">
        <f>Inputs!D66</f>
        <v>0.2</v>
      </c>
      <c r="E36" s="88">
        <f t="shared" si="1"/>
        <v>161042.40000000002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6765810</v>
      </c>
      <c r="D37" s="199">
        <f>Inputs!D67</f>
        <v>0.1</v>
      </c>
      <c r="E37" s="88">
        <f t="shared" si="1"/>
        <v>676581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60750263</v>
      </c>
      <c r="D38" s="199">
        <f>Inputs!D68</f>
        <v>0.1</v>
      </c>
      <c r="E38" s="88">
        <f t="shared" si="1"/>
        <v>6075026.3000000007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17178235</v>
      </c>
      <c r="D40" s="199">
        <f>Inputs!D70</f>
        <v>0.05</v>
      </c>
      <c r="E40" s="88">
        <f t="shared" si="1"/>
        <v>858911.75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4163174</v>
      </c>
      <c r="D41" s="199">
        <f>Inputs!D71</f>
        <v>0.9</v>
      </c>
      <c r="E41" s="88">
        <f t="shared" si="1"/>
        <v>3746856.6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37623092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16013360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2881955</v>
      </c>
      <c r="D44" s="62">
        <f>IF(E44=0,0,E44/C44)</f>
        <v>0.6</v>
      </c>
      <c r="E44" s="88">
        <f>SUM(E30:E31)</f>
        <v>1729173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29744206</v>
      </c>
      <c r="D45" s="62">
        <f>IF(E45=0,0,E45/C45)</f>
        <v>0.18469568493440369</v>
      </c>
      <c r="E45" s="88">
        <f>SUM(E32:E35)</f>
        <v>5493626.5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68321285</v>
      </c>
      <c r="D46" s="62">
        <f>IF(E46=0,0,E46/C46)</f>
        <v>0.10117856682584353</v>
      </c>
      <c r="E46" s="88">
        <f>E36+E37+E38+E39</f>
        <v>6912649.7000000011</v>
      </c>
      <c r="F46" s="87"/>
      <c r="G46" s="87"/>
      <c r="H46" s="23" t="s">
        <v>80</v>
      </c>
      <c r="I46" s="63">
        <f>(E44+E24)/E64</f>
        <v>5.8247828651384213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58964501</v>
      </c>
      <c r="D47" s="62">
        <f>IF(E47=0,0,E47/C47)</f>
        <v>7.8110867927127875E-2</v>
      </c>
      <c r="E47" s="88">
        <f>E40+E41+E42</f>
        <v>4605768.3499999996</v>
      </c>
      <c r="F47" s="87"/>
      <c r="G47" s="87"/>
      <c r="H47" s="23" t="s">
        <v>82</v>
      </c>
      <c r="I47" s="63">
        <f>(E44+E45+E24+E25)/$I$49</f>
        <v>0.47313491602419833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83</v>
      </c>
      <c r="C48" s="81">
        <f>SUM(C30:C42)</f>
        <v>159911947</v>
      </c>
      <c r="D48" s="82">
        <f>E48/C48</f>
        <v>0.11719710691784649</v>
      </c>
      <c r="E48" s="76">
        <f>SUM(E30:E42)</f>
        <v>18741217.550000001</v>
      </c>
      <c r="F48" s="87"/>
      <c r="G48" s="87"/>
      <c r="H48" s="80" t="s">
        <v>84</v>
      </c>
      <c r="I48" s="208">
        <f>Inputs!C82</f>
        <v>24023311</v>
      </c>
      <c r="J48" s="8"/>
    </row>
    <row r="49" spans="2:11" ht="15" customHeight="1" thickTop="1" x14ac:dyDescent="0.4">
      <c r="B49" s="3" t="s">
        <v>13</v>
      </c>
      <c r="C49" s="61">
        <f>C28+C48</f>
        <v>479499893</v>
      </c>
      <c r="D49" s="56">
        <f>E49/C49</f>
        <v>0.39101101738931981</v>
      </c>
      <c r="E49" s="88">
        <f>E28+E48</f>
        <v>187489741</v>
      </c>
      <c r="F49" s="87"/>
      <c r="G49" s="87"/>
      <c r="H49" s="3" t="s">
        <v>85</v>
      </c>
      <c r="I49" s="52">
        <f>I28+I48</f>
        <v>279593282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39516717</v>
      </c>
      <c r="D53" s="29">
        <f>IF(E53=0, 0,E53/C53)</f>
        <v>1</v>
      </c>
      <c r="E53" s="88">
        <f>IF(C53=0,0,MAX(C53,C53*Dashboard!G23))</f>
        <v>39516717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21003076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33898507</v>
      </c>
      <c r="D61" s="56">
        <f t="shared" ref="D61:D70" si="2">IF(E61=0,0,E61/C61)</f>
        <v>0.26916841204835362</v>
      </c>
      <c r="E61" s="52">
        <f>E14+E15+(E19*G19)+(E20*G20)+E31+E32+(E35*G35)+(E36*G36)+(E37*G37)</f>
        <v>9124407.2999999989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47742240</v>
      </c>
      <c r="D62" s="107">
        <f t="shared" si="2"/>
        <v>0.9</v>
      </c>
      <c r="E62" s="118">
        <f>E11+E30</f>
        <v>42968016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81640747</v>
      </c>
      <c r="D63" s="29">
        <f t="shared" si="2"/>
        <v>0.63806892041298935</v>
      </c>
      <c r="E63" s="61">
        <f>E61+E62</f>
        <v>52092423.299999997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21003076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60637671</v>
      </c>
      <c r="D65" s="29">
        <f t="shared" si="2"/>
        <v>0.51270681718629985</v>
      </c>
      <c r="E65" s="61">
        <f>E63-E64</f>
        <v>31089347.299999997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397859146</v>
      </c>
      <c r="D68" s="29">
        <f t="shared" si="2"/>
        <v>0.34031470449092049</v>
      </c>
      <c r="E68" s="68">
        <f>E49-E63</f>
        <v>135397317.69999999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258590206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139268940</v>
      </c>
      <c r="D70" s="29">
        <f t="shared" si="2"/>
        <v>-0.88456829139361592</v>
      </c>
      <c r="E70" s="68">
        <f>E68-E69</f>
        <v>-123192888.30000001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234261514</v>
      </c>
      <c r="D74" s="210"/>
      <c r="E74" s="239">
        <f>Inputs!E91</f>
        <v>234261514</v>
      </c>
      <c r="F74" s="210"/>
      <c r="H74" s="239">
        <f>Inputs!F91</f>
        <v>234261514</v>
      </c>
      <c r="I74" s="210"/>
      <c r="K74" s="24"/>
    </row>
    <row r="75" spans="1:11" ht="15" customHeight="1" x14ac:dyDescent="0.4">
      <c r="B75" s="104" t="s">
        <v>105</v>
      </c>
      <c r="C75" s="77">
        <f>Data!C8</f>
        <v>183809908</v>
      </c>
      <c r="D75" s="160">
        <f>C75/$C$74</f>
        <v>0.78463553343209413</v>
      </c>
      <c r="E75" s="239">
        <f>Inputs!E92</f>
        <v>183809908</v>
      </c>
      <c r="F75" s="161">
        <f>E75/E74</f>
        <v>0.78463553343209413</v>
      </c>
      <c r="H75" s="239">
        <f>Inputs!F92</f>
        <v>183809908</v>
      </c>
      <c r="I75" s="161">
        <f>H75/$H$74</f>
        <v>0.78463553343209413</v>
      </c>
      <c r="K75" s="24"/>
    </row>
    <row r="76" spans="1:11" ht="15" customHeight="1" x14ac:dyDescent="0.4">
      <c r="B76" s="35" t="s">
        <v>95</v>
      </c>
      <c r="C76" s="162">
        <f>C74-C75</f>
        <v>50451606</v>
      </c>
      <c r="D76" s="211"/>
      <c r="E76" s="163">
        <f>E74-E75</f>
        <v>50451606</v>
      </c>
      <c r="F76" s="211"/>
      <c r="H76" s="163">
        <f>H74-H75</f>
        <v>50451606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37506984</v>
      </c>
      <c r="D77" s="160">
        <f>C77/$C$74</f>
        <v>0.16010732347610457</v>
      </c>
      <c r="E77" s="239">
        <f>Inputs!E93</f>
        <v>37506984</v>
      </c>
      <c r="F77" s="161">
        <f>E77/E74</f>
        <v>0.16010732347610457</v>
      </c>
      <c r="H77" s="239">
        <f>Inputs!F93</f>
        <v>37506984</v>
      </c>
      <c r="I77" s="161">
        <f>H77/$H$74</f>
        <v>0.16010732347610457</v>
      </c>
      <c r="K77" s="24"/>
    </row>
    <row r="78" spans="1:11" ht="15" customHeight="1" x14ac:dyDescent="0.4">
      <c r="B78" s="73" t="s">
        <v>172</v>
      </c>
      <c r="C78" s="77">
        <f>MAX(Data!C12,0)</f>
        <v>2932</v>
      </c>
      <c r="D78" s="160">
        <f>C78/$C$74</f>
        <v>1.2515926965280349E-5</v>
      </c>
      <c r="E78" s="181">
        <f>E74*F78</f>
        <v>2932</v>
      </c>
      <c r="F78" s="161">
        <f>I78</f>
        <v>1.2515926965280349E-5</v>
      </c>
      <c r="H78" s="239">
        <f>Inputs!F97</f>
        <v>2932</v>
      </c>
      <c r="I78" s="161">
        <f>H78/$H$74</f>
        <v>1.2515926965280349E-5</v>
      </c>
      <c r="K78" s="24"/>
    </row>
    <row r="79" spans="1:11" ht="15" customHeight="1" x14ac:dyDescent="0.4">
      <c r="B79" s="257" t="s">
        <v>232</v>
      </c>
      <c r="C79" s="258">
        <f>C76-C77-C78</f>
        <v>12941690</v>
      </c>
      <c r="D79" s="259">
        <f>C79/C74</f>
        <v>5.5244627164835962E-2</v>
      </c>
      <c r="E79" s="260">
        <f>E76-E77-E78</f>
        <v>12941690</v>
      </c>
      <c r="F79" s="259">
        <f>E79/E74</f>
        <v>5.5244627164835962E-2</v>
      </c>
      <c r="G79" s="261"/>
      <c r="H79" s="260">
        <f>H76-H77-H78</f>
        <v>12941690</v>
      </c>
      <c r="I79" s="259">
        <f>H79/H74</f>
        <v>5.5244627164835962E-2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256</v>
      </c>
      <c r="C81" s="77">
        <f>MAX(Data!C17,0)</f>
        <v>0</v>
      </c>
      <c r="D81" s="160">
        <f>C81/$C$74</f>
        <v>0</v>
      </c>
      <c r="E81" s="181">
        <f>E74*F81</f>
        <v>0</v>
      </c>
      <c r="F81" s="161">
        <f>I81</f>
        <v>0</v>
      </c>
      <c r="H81" s="239">
        <f>Inputs!F94</f>
        <v>0</v>
      </c>
      <c r="I81" s="161">
        <f>H81/$H$74</f>
        <v>0</v>
      </c>
      <c r="K81" s="24"/>
    </row>
    <row r="82" spans="1:11" ht="15" customHeight="1" x14ac:dyDescent="0.4">
      <c r="B82" s="28" t="s">
        <v>246</v>
      </c>
      <c r="C82" s="77">
        <f>ABS(MAX(Data!C21,0)-MAX(Data!C19,0))</f>
        <v>20662</v>
      </c>
      <c r="D82" s="160">
        <f>C82/$C$74</f>
        <v>8.8200573996119572E-5</v>
      </c>
      <c r="E82" s="239">
        <f>Inputs!E95</f>
        <v>20662</v>
      </c>
      <c r="F82" s="161">
        <f>E82/E74</f>
        <v>8.8200573996119572E-5</v>
      </c>
      <c r="H82" s="239">
        <f>Inputs!F95</f>
        <v>20662</v>
      </c>
      <c r="I82" s="161">
        <f>H82/$H$74</f>
        <v>8.8200573996119572E-5</v>
      </c>
      <c r="K82" s="24"/>
    </row>
    <row r="83" spans="1:11" ht="15" customHeight="1" thickBot="1" x14ac:dyDescent="0.45">
      <c r="B83" s="105" t="s">
        <v>125</v>
      </c>
      <c r="C83" s="164">
        <f>C79-C81-C82-C80</f>
        <v>12921028</v>
      </c>
      <c r="D83" s="165">
        <f>C83/$C$74</f>
        <v>5.5156426590839844E-2</v>
      </c>
      <c r="E83" s="166">
        <f>E79-E81-E82-E80</f>
        <v>12921028</v>
      </c>
      <c r="F83" s="165">
        <f>E83/E74</f>
        <v>5.5156426590839844E-2</v>
      </c>
      <c r="H83" s="166">
        <f>H79-H81-H82-H80</f>
        <v>12921028</v>
      </c>
      <c r="I83" s="165">
        <f>H83/$H$74</f>
        <v>5.5156426590839844E-2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9690771</v>
      </c>
      <c r="D85" s="259">
        <f>C85/$C$74</f>
        <v>4.1367319943129879E-2</v>
      </c>
      <c r="E85" s="265">
        <f>E83*(1-F84)</f>
        <v>9690771</v>
      </c>
      <c r="F85" s="259">
        <f>E85/E74</f>
        <v>4.1367319943129879E-2</v>
      </c>
      <c r="G85" s="261"/>
      <c r="H85" s="265">
        <f>H83*(1-I84)</f>
        <v>9690771</v>
      </c>
      <c r="I85" s="259">
        <f>H85/$H$74</f>
        <v>4.1367319943129879E-2</v>
      </c>
      <c r="K85" s="24"/>
    </row>
    <row r="86" spans="1:11" ht="15" customHeight="1" x14ac:dyDescent="0.4">
      <c r="B86" s="87" t="s">
        <v>160</v>
      </c>
      <c r="C86" s="168">
        <f>C85*Data!C4/Common_Shares</f>
        <v>0.33767089074623169</v>
      </c>
      <c r="D86" s="210"/>
      <c r="E86" s="169">
        <f>E85*Data!C4/Common_Shares</f>
        <v>0.33767089074623169</v>
      </c>
      <c r="F86" s="210"/>
      <c r="H86" s="169">
        <f>H85*Data!C4/Common_Shares</f>
        <v>0.33767089074623169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7.6724861548276582E-2</v>
      </c>
      <c r="D87" s="210"/>
      <c r="E87" s="263">
        <f>E86*Exchange_Rate/Dashboard!G3</f>
        <v>7.6724861548276582E-2</v>
      </c>
      <c r="F87" s="210"/>
      <c r="H87" s="263">
        <f>H86*Exchange_Rate/Dashboard!G3</f>
        <v>7.6724861548276582E-2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0.2</v>
      </c>
      <c r="D88" s="167">
        <f>C88/C86</f>
        <v>0.59229268936393198</v>
      </c>
      <c r="E88" s="171">
        <f>Inputs!E98</f>
        <v>0.2</v>
      </c>
      <c r="F88" s="167">
        <f>E88/E86</f>
        <v>0.59229268936393198</v>
      </c>
      <c r="H88" s="171">
        <f>Inputs!F98</f>
        <v>0.2</v>
      </c>
      <c r="I88" s="167">
        <f>H88/H86</f>
        <v>0.59229268936393198</v>
      </c>
      <c r="K88" s="24"/>
    </row>
    <row r="89" spans="1:11" ht="15" customHeight="1" x14ac:dyDescent="0.4">
      <c r="B89" s="87" t="s">
        <v>221</v>
      </c>
      <c r="C89" s="262">
        <f>C88*Exchange_Rate/Dashboard!G3</f>
        <v>4.5443574587504067E-2</v>
      </c>
      <c r="D89" s="210"/>
      <c r="E89" s="262">
        <f>E88*Exchange_Rate/Dashboard!G3</f>
        <v>4.5443574587504067E-2</v>
      </c>
      <c r="F89" s="210"/>
      <c r="H89" s="262">
        <f>H88*Exchange_Rate/Dashboard!G3</f>
        <v>4.5443574587504067E-2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7.2789597969372837</v>
      </c>
      <c r="H93" s="87" t="s">
        <v>209</v>
      </c>
      <c r="I93" s="144">
        <f>FV(H87,D93,0,-(H86/C93))*Exchange_Rate</f>
        <v>7.2789597969372837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3.7203600871196723</v>
      </c>
      <c r="H94" s="87" t="s">
        <v>210</v>
      </c>
      <c r="I94" s="144">
        <f>FV(H89,D93,0,-(H88/C93))*Exchange_Rate</f>
        <v>3.7203600871196723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103859164.95218195</v>
      </c>
      <c r="D97" s="214"/>
      <c r="E97" s="123">
        <f>PV(C94,D93,0,-F93)</f>
        <v>3.6189294682087816</v>
      </c>
      <c r="F97" s="214"/>
      <c r="H97" s="123">
        <f>PV(C94,D93,0,-I93)</f>
        <v>3.6189294682087816</v>
      </c>
      <c r="I97" s="123">
        <f>PV(C93,D93,0,-I93)</f>
        <v>5.14156575009366</v>
      </c>
      <c r="K97" s="24"/>
    </row>
    <row r="98" spans="2:11" ht="15" customHeight="1" x14ac:dyDescent="0.4">
      <c r="B98" s="28" t="s">
        <v>144</v>
      </c>
      <c r="C98" s="91">
        <f>E53*Exchange_Rate</f>
        <v>42380428.684049845</v>
      </c>
      <c r="D98" s="214"/>
      <c r="E98" s="214"/>
      <c r="F98" s="214"/>
      <c r="H98" s="123">
        <f>C98*Data!$C$4/Common_Shares</f>
        <v>1.4767284361533524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61478736.268132105</v>
      </c>
      <c r="D100" s="109">
        <f>MIN(F100*(1-C94),E100)</f>
        <v>1.8208708772471149</v>
      </c>
      <c r="E100" s="109">
        <f>MAX(E97-H98+E99,0)</f>
        <v>2.1422010320554294</v>
      </c>
      <c r="F100" s="109">
        <f>(E100+H100)/2</f>
        <v>2.1422010320554294</v>
      </c>
      <c r="H100" s="109">
        <f>MAX(C100*Data!$C$4/Common_Shares,0)</f>
        <v>2.1422010320554294</v>
      </c>
      <c r="I100" s="109">
        <f>MAX(I97-H98+H99,0)</f>
        <v>3.6648373139403079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53083613.970811605</v>
      </c>
      <c r="D103" s="109">
        <f>MIN(F103*(1-C94),E103)</f>
        <v>1.5722250099109869</v>
      </c>
      <c r="E103" s="123">
        <f>PV(C94,D93,0,-F94)</f>
        <v>1.8496764822482199</v>
      </c>
      <c r="F103" s="109">
        <f>(E103+H103)/2</f>
        <v>1.8496764822482199</v>
      </c>
      <c r="H103" s="123">
        <f>PV(C94,D93,0,-I94)</f>
        <v>1.8496764822482199</v>
      </c>
      <c r="I103" s="109">
        <f>PV(C93,D93,0,-I94)</f>
        <v>2.627913401857024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57281175.119471848</v>
      </c>
      <c r="D106" s="109">
        <f>(D100+D103)/2</f>
        <v>1.6965479435790509</v>
      </c>
      <c r="E106" s="123">
        <f>(E100+E103)/2</f>
        <v>1.9959387571518246</v>
      </c>
      <c r="F106" s="109">
        <f>(F100+F103)/2</f>
        <v>1.9959387571518246</v>
      </c>
      <c r="H106" s="123">
        <f>(H100+H103)/2</f>
        <v>1.9959387571518246</v>
      </c>
      <c r="I106" s="123">
        <f>(I100+I103)/2</f>
        <v>3.1463753578986662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2024-12-03T08:57:50Z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