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A6DCDE-A84A-4729-A566-015FF4D0630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4" i="4" l="1"/>
  <c r="F96" i="4"/>
  <c r="E92" i="4"/>
  <c r="F97" i="4"/>
  <c r="E95" i="4"/>
  <c r="D5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<sst xmlns="http://schemas.openxmlformats.org/spreadsheetml/2006/main" count="390" uniqueCount="268">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</sst>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821163500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(0.61+0.42)/Exchange_Rate</f>
        <v>0.13234969117620959</v>
      </c>
      <c r="D44" s="251">
        <f>(0.45+0.42)/Exchange_Rate</f>
        <v>0.11179051584786635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7.1527777777777773E-2</v>
      </c>
      <c r="D45" s="153">
        <f>IF(D44="","",D44*Exchange_Rate/Dashboard!$G$3)</f>
        <v>6.0416666666666667E-2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207</v>
      </c>
      <c r="C98" s="238">
        <f>C44</f>
        <v>0.13234969117620959</v>
      </c>
      <c r="D98" s="267"/>
      <c r="E98" s="255">
        <f>F98</f>
        <v>0.13234969117620959</v>
      </c>
      <c r="F98" s="255">
        <f>C98</f>
        <v>0.13234969117620959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1836.HK</v>
      </c>
      <c r="D3" s="277"/>
      <c r="E3" s="87"/>
      <c r="F3" s="3" t="s">
        <v>1</v>
      </c>
      <c r="G3" s="132">
        <v>14.4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九興控股</v>
      </c>
      <c r="D4" s="279"/>
      <c r="E4" s="87"/>
      <c r="F4" s="3" t="s">
        <v>2</v>
      </c>
      <c r="G4" s="282">
        <f>Inputs!C10</f>
        <v>821163500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11824.7544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0.75431095413462357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6.3176187869769956E-4</v>
      </c>
      <c r="F24" s="140" t="s">
        <v>260</v>
      </c>
      <c r="G24" s="269">
        <f>G3/(Fin_Analysis!H86*G7)</f>
        <v>12.013860694944849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0.85932475804119413</v>
      </c>
    </row>
    <row r="26" spans="1:8" ht="15.75" customHeight="1" x14ac:dyDescent="0.4">
      <c r="B26" s="138" t="s">
        <v>173</v>
      </c>
      <c r="C26" s="172">
        <f>Fin_Analysis!I83</f>
        <v>0.11297327149257705</v>
      </c>
      <c r="F26" s="141" t="s">
        <v>193</v>
      </c>
      <c r="G26" s="179">
        <f>Fin_Analysis!H88*Exchange_Rate/G3</f>
        <v>7.1527777777777773E-2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10.492885564423549</v>
      </c>
      <c r="D29" s="129">
        <f>G29*(1+G20)</f>
        <v>20.169221064948697</v>
      </c>
      <c r="E29" s="87"/>
      <c r="F29" s="131">
        <f>IF(Fin_Analysis!C108="Profit",Fin_Analysis!F100,IF(Fin_Analysis!C108="Dividend",Fin_Analysis!F103,Fin_Analysis!F106))</f>
        <v>12.344571252262998</v>
      </c>
      <c r="G29" s="273">
        <f>IF(Fin_Analysis!C108="Profit",Fin_Analysis!I100,IF(Fin_Analysis!C108="Dividend",Fin_Analysis!I103,Fin_Analysis!I106))</f>
        <v>17.53845309995539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95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232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160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8.3237189558954733E-2</v>
      </c>
      <c r="D87" s="210"/>
      <c r="E87" s="263">
        <f>E86*Exchange_Rate/Dashboard!G3</f>
        <v>8.3237189558954719E-2</v>
      </c>
      <c r="F87" s="210"/>
      <c r="H87" s="263">
        <f>H86*Exchange_Rate/Dashboard!G3</f>
        <v>8.3237189558954719E-2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0.13234969117620959</v>
      </c>
      <c r="D88" s="167">
        <f>C88/C86</f>
        <v>0.8593247580411939</v>
      </c>
      <c r="E88" s="171">
        <f>Inputs!E98</f>
        <v>0.13234969117620959</v>
      </c>
      <c r="F88" s="167">
        <f>E88/E86</f>
        <v>0.85932475804119413</v>
      </c>
      <c r="H88" s="171">
        <f>Inputs!F98</f>
        <v>0.13234969117620959</v>
      </c>
      <c r="I88" s="167">
        <f>H88/H86</f>
        <v>0.85932475804119413</v>
      </c>
      <c r="K88" s="24"/>
    </row>
    <row r="89" spans="1:11" ht="15" customHeight="1" x14ac:dyDescent="0.4">
      <c r="B89" s="87" t="s">
        <v>221</v>
      </c>
      <c r="C89" s="262">
        <f>C88*Exchange_Rate/Dashboard!G3</f>
        <v>7.1527777777777773E-2</v>
      </c>
      <c r="D89" s="210"/>
      <c r="E89" s="262">
        <f>E88*Exchange_Rate/Dashboard!G3</f>
        <v>7.1527777777777773E-2</v>
      </c>
      <c r="F89" s="210"/>
      <c r="H89" s="262">
        <f>H88*Exchange_Rate/Dashboard!G3</f>
        <v>7.1527777777777773E-2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24.829342114845048</v>
      </c>
      <c r="H93" s="87" t="s">
        <v>209</v>
      </c>
      <c r="I93" s="144">
        <f>FV(H87,D93,0,-(H86/C93))*Exchange_Rate</f>
        <v>24.829342114845048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20.207933224089139</v>
      </c>
      <c r="H94" s="87" t="s">
        <v>210</v>
      </c>
      <c r="I94" s="144">
        <f>FV(H89,D93,0,-(H88/C93))*Exchange_Rate</f>
        <v>20.207933224089139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10136911.335507665</v>
      </c>
      <c r="D97" s="214"/>
      <c r="E97" s="123">
        <f>PV(C94,D93,0,-F93)</f>
        <v>12.344571252262998</v>
      </c>
      <c r="F97" s="214"/>
      <c r="H97" s="123">
        <f>PV(C94,D93,0,-I93)</f>
        <v>12.344571252262998</v>
      </c>
      <c r="I97" s="123">
        <f>PV(C93,D93,0,-I93)</f>
        <v>17.53845309995539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10136911.335507665</v>
      </c>
      <c r="D100" s="109">
        <f>MIN(F100*(1-C94),E100)</f>
        <v>10.492885564423549</v>
      </c>
      <c r="E100" s="109">
        <f>MAX(E97-H98+E99,0)</f>
        <v>12.344571252262998</v>
      </c>
      <c r="F100" s="109">
        <f>(E100+H100)/2</f>
        <v>12.344571252262998</v>
      </c>
      <c r="H100" s="109">
        <f>MAX(C100*Data!$C$4/Common_Shares,0)</f>
        <v>12.344571252262996</v>
      </c>
      <c r="I100" s="109">
        <f>MAX(I97-H98+H99,0)</f>
        <v>17.53845309995539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8250159.2840825673</v>
      </c>
      <c r="D103" s="109">
        <f>MIN(F103*(1-C94),E103)</f>
        <v>8.5398771273567107</v>
      </c>
      <c r="E103" s="123">
        <f>PV(C94,D93,0,-F94)</f>
        <v>10.046914267478483</v>
      </c>
      <c r="F103" s="109">
        <f>(E103+H103)/2</f>
        <v>10.046914267478483</v>
      </c>
      <c r="H103" s="123">
        <f>PV(C94,D93,0,-I94)</f>
        <v>10.046914267478483</v>
      </c>
      <c r="I103" s="109">
        <f>PV(C93,D93,0,-I94)</f>
        <v>14.274074901316792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9193535.309795117</v>
      </c>
      <c r="D106" s="109">
        <f>(D100+D103)/2</f>
        <v>9.5163813458901299</v>
      </c>
      <c r="E106" s="123">
        <f>(E100+E103)/2</f>
        <v>11.19574275987074</v>
      </c>
      <c r="F106" s="109">
        <f>(F100+F103)/2</f>
        <v>11.19574275987074</v>
      </c>
      <c r="H106" s="123">
        <f>(H100+H103)/2</f>
        <v>11.19574275987074</v>
      </c>
      <c r="I106" s="123">
        <f>(I100+I103)/2</f>
        <v>15.906264000636092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