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F9B22F6-7172-4676-B6DC-0C6C2F04223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F97" i="4"/>
  <c r="E92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<sst xmlns="http://schemas.openxmlformats.org/spreadsheetml/2006/main" count="391" uniqueCount="268">
  <si>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</si>
  <si>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</si>
  <si>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</si>
  <si>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</si>
  <si>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</si>
  <si>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</si>
  <si>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</si>
  <si>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</si>
  <si>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</si>
  <si>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</si>
  <si>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</si>
  <si>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</si>
  <si>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</si>
  <si>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</si>
  <si>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</si>
  <si>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</si>
  <si>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</si>
  <si>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</si>
  <si>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</si>
  <si>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</si>
  <si>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</si>
  <si>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</si>
  <si>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</si>
  <si>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</si>
  <si>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</si>
  <si>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</si>
  <si>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</si>
  <si>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</si>
  <si>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</si>
  <si>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</si>
  <si>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</si>
  <si>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</si>
  <si>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</si>
  <si>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</si>
  <si>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</si>
  <si>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</si>
  <si>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</si>
  <si>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</si>
  <si>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</si>
  <si>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</si>
  <si>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</si>
  <si>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</si>
  <si>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</si>
  <si>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</si>
  <si>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</si>
  <si>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</si>
  <si>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</si>
  <si>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</si>
  <si>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</si>
  <si>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</si>
  <si>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</si>
  <si>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</si>
  <si>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</si>
  <si>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</si>
  <si>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</si>
  <si>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</si>
  <si>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</si>
  <si>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</si>
  <si>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</si>
  <si>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</si>
  <si>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</si>
  <si>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</si>
  <si>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</si>
  <si>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</si>
  <si>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</si>
  <si>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</si>
  <si>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</si>
  <si>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</si>
  <si>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</si>
  <si>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</si>
  <si>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</si>
  <si>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</si>
  <si>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</si>
  <si>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</si>
  <si>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</si>
  <si>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</si>
  <si>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</si>
  <si>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</si>
  <si>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</si>
  <si>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</si>
  <si>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</si>
  <si>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</si>
  <si>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</si>
  <si>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</si>
  <si>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</si>
  <si>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</si>
  <si>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</si>
  <si>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</si>
  <si>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</si>
  <si>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</si>
  <si>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</si>
  <si>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</si>
  <si>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</si>
  <si>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</si>
  <si>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</si>
  <si>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</si>
  <si>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</si>
  <si>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</si>
  <si>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</si>
  <si>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</si>
  <si>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</si>
  <si>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</si>
  <si>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</si>
  <si>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</si>
  <si>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</si>
  <si>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</si>
  <si>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</si>
  <si>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</si>
  <si>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</si>
  <si>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</si>
  <si>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</si>
  <si>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</si>
  <si>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</si>
  <si>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</si>
  <si>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</si>
  <si>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</si>
  <si>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</si>
  <si>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</si>
  <si>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</si>
  <si>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</si>
  <si>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</si>
  <si>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</si>
  <si>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</si>
  <si>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</si>
  <si>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</si>
  <si>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</si>
  <si>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</si>
  <si>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</si>
  <si>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</si>
  <si>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</si>
  <si>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</si>
  <si>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</si>
  <si>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</si>
  <si>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</si>
  <si>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</si>
  <si>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</si>
  <si>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</si>
  <si>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</si>
  <si>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</si>
  <si>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</si>
  <si>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</si>
  <si>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</si>
  <si>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</si>
  <si>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</si>
  <si>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</si>
  <si>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</si>
  <si>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</si>
  <si>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</si>
  <si>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</si>
  <si>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</si>
  <si>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</si>
  <si>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</si>
  <si>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</si>
  <si>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</si>
  <si>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</si>
  <si>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</si>
  <si>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</si>
  <si>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</si>
  <si>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</si>
  <si>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</si>
  <si>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</si>
  <si>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</si>
  <si>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</si>
  <si>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</si>
  <si>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</si>
  <si>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</si>
  <si>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</si>
  <si>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</si>
  <si>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</si>
  <si>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</si>
  <si>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</si>
  <si>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</si>
  <si>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</si>
  <si>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</si>
  <si>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</si>
  <si>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</si>
  <si>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</si>
  <si>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</si>
  <si>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</si>
  <si>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</si>
  <si>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</si>
  <si>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</si>
  <si>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</si>
  <si>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</si>
  <si>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</si>
  <si>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</si>
  <si>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</si>
  <si>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</si>
  <si>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</si>
  <si>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</si>
  <si>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</si>
  <si>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</si>
  <si>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</si>
  <si>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</si>
  <si>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</si>
  <si>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</si>
  <si>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</si>
  <si>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</si>
  <si>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</si>
  <si>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</si>
  <si>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</si>
  <si>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</si>
  <si>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</si>
  <si>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</si>
  <si>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</si>
  <si>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</si>
  <si>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</si>
  <si>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</si>
  <si>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</si>
  <si>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</si>
  <si>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</si>
  <si>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</si>
  <si>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</si>
  <si>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</si>
  <si>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</si>
  <si>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</si>
  <si>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</si>
  <si>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</si>
  <si>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</si>
  <si>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</si>
  <si>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</si>
  <si>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</si>
  <si>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</si>
  <si>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</si>
  <si>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</si>
  <si>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</si>
  <si>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</si>
  <si>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</si>
  <si>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</si>
  <si>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</si>
  <si>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</si>
  <si>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</si>
  <si>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</si>
  <si>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</si>
  <si>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</si>
  <si>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</si>
  <si>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</si>
  <si>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</si>
  <si>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</si>
  <si>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</si>
  <si>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</si>
  <si>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</si>
  <si>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</si>
  <si>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</si>
  <si>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</si>
  <si>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</si>
  <si>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</si>
  <si>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</si>
  <si>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</si>
  <si>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</si>
  <si>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</si>
  <si>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</si>
  <si>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</si>
  <si>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</si>
  <si>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</si>
  <si>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</si>
  <si>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</si>
  <si>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</si>
  <si>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2888.HK</t>
  </si>
  <si>
    <t>Standard Chartered</t>
  </si>
  <si>
    <t>C0014</t>
  </si>
  <si>
    <t>USD</t>
  </si>
  <si>
    <t>UK Tax Rate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</si>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</sst>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3.4550297712315887E-2</c:v>
                </c:pt>
                <c:pt idx="1">
                  <c:v>0.30165569831818656</c:v>
                </c:pt>
                <c:pt idx="2">
                  <c:v>0</c:v>
                </c:pt>
                <c:pt idx="3">
                  <c:v>0</c:v>
                </c:pt>
                <c:pt idx="4">
                  <c:v>0.50814791601378884</c:v>
                </c:pt>
                <c:pt idx="5">
                  <c:v>0</c:v>
                </c:pt>
                <c:pt idx="6">
                  <c:v>0.15564608795570867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258</v>
      </c>
    </row>
    <row r="5" spans="1:5" ht="13.9" x14ac:dyDescent="0.4">
      <c r="B5" s="141" t="s">
        <v>195</v>
      </c>
      <c r="C5" s="192" t="s">
        <v>259</v>
      </c>
    </row>
    <row r="6" spans="1:5" ht="13.9" x14ac:dyDescent="0.4">
      <c r="B6" s="141" t="s">
        <v>163</v>
      </c>
      <c r="C6" s="190">
        <v>45606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260</v>
      </c>
    </row>
    <row r="10" spans="1:5" ht="13.9" x14ac:dyDescent="0.4">
      <c r="B10" s="140" t="s">
        <v>217</v>
      </c>
      <c r="C10" s="194">
        <v>2454657755</v>
      </c>
    </row>
    <row r="11" spans="1:5" ht="13.9" x14ac:dyDescent="0.4">
      <c r="B11" s="140" t="s">
        <v>218</v>
      </c>
      <c r="C11" s="193" t="s">
        <v>261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254</v>
      </c>
      <c r="C15" s="177" t="s">
        <v>189</v>
      </c>
    </row>
    <row r="16" spans="1:5" ht="13.9" x14ac:dyDescent="0.4">
      <c r="B16" s="223" t="s">
        <v>96</v>
      </c>
      <c r="C16" s="224">
        <v>0.23499999999999999</v>
      </c>
      <c r="D16" s="24" t="s">
        <v>262</v>
      </c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264</v>
      </c>
      <c r="D18" s="24"/>
    </row>
    <row r="19" spans="2:13" ht="13.9" x14ac:dyDescent="0.4">
      <c r="B19" s="241" t="s">
        <v>239</v>
      </c>
      <c r="C19" s="243" t="s">
        <v>264</v>
      </c>
      <c r="D19" s="24"/>
    </row>
    <row r="20" spans="2:13" ht="13.9" x14ac:dyDescent="0.4">
      <c r="B20" s="242" t="s">
        <v>228</v>
      </c>
      <c r="C20" s="243" t="s">
        <v>264</v>
      </c>
      <c r="D20" s="24"/>
    </row>
    <row r="21" spans="2:13" ht="13.9" x14ac:dyDescent="0.4">
      <c r="B21" s="225" t="s">
        <v>231</v>
      </c>
      <c r="C21" s="243" t="s">
        <v>263</v>
      </c>
      <c r="D21" s="24"/>
    </row>
    <row r="22" spans="2:13" ht="78.75" x14ac:dyDescent="0.4">
      <c r="B22" s="227" t="s">
        <v>230</v>
      </c>
      <c r="C22" s="244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38292</v>
      </c>
      <c r="D25" s="150">
        <v>24836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1323</v>
      </c>
      <c r="D26" s="151">
        <v>1695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11551</v>
      </c>
      <c r="D27" s="151">
        <v>10913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255</v>
      </c>
      <c r="C29" s="151">
        <v>19458</v>
      </c>
      <c r="D29" s="151">
        <v>7659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-7</v>
      </c>
      <c r="D30" s="151">
        <v>-46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0.21+0.09</f>
        <v>0.3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251</v>
      </c>
      <c r="C45" s="153">
        <f>IF(C44="","",C44*Exchange_Rate/Dashboard!$G$3)</f>
        <v>2.4119049556984389E-2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248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8">
        <v>5</v>
      </c>
    </row>
    <row r="87" spans="2:8" ht="13.9" x14ac:dyDescent="0.4">
      <c r="B87" s="10" t="s">
        <v>247</v>
      </c>
      <c r="C87" s="237" t="s">
        <v>266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38292</v>
      </c>
      <c r="D91" s="210"/>
      <c r="E91" s="252">
        <f>C91</f>
        <v>38292</v>
      </c>
      <c r="F91" s="252">
        <f>C91</f>
        <v>38292</v>
      </c>
    </row>
    <row r="92" spans="2:8" ht="13.9" x14ac:dyDescent="0.4">
      <c r="B92" s="104" t="s">
        <v>105</v>
      </c>
      <c r="C92" s="77">
        <f>C26</f>
        <v>1323</v>
      </c>
      <c r="D92" s="160">
        <f>C92/C91</f>
        <v>3.4550297712315887E-2</v>
      </c>
      <c r="E92" s="253">
        <f>E91*D92</f>
        <v>1323</v>
      </c>
      <c r="F92" s="253">
        <f>F91*D92</f>
        <v>1323</v>
      </c>
    </row>
    <row r="93" spans="2:8" ht="13.9" x14ac:dyDescent="0.4">
      <c r="B93" s="104" t="s">
        <v>246</v>
      </c>
      <c r="C93" s="77">
        <f>C27+C28</f>
        <v>11551</v>
      </c>
      <c r="D93" s="160">
        <f>C93/C91</f>
        <v>0.30165569831818656</v>
      </c>
      <c r="E93" s="253">
        <f>E91*D93</f>
        <v>11551</v>
      </c>
      <c r="F93" s="253">
        <f>F91*D93</f>
        <v>11551</v>
      </c>
    </row>
    <row r="94" spans="2:8" ht="13.9" x14ac:dyDescent="0.4">
      <c r="B94" s="104" t="s">
        <v>255</v>
      </c>
      <c r="C94" s="77">
        <f>C29</f>
        <v>19458</v>
      </c>
      <c r="D94" s="160">
        <f>C94/C91</f>
        <v>0.50814791601378884</v>
      </c>
      <c r="E94" s="254"/>
      <c r="F94" s="253">
        <f>F91*D94</f>
        <v>19458.000000000004</v>
      </c>
    </row>
    <row r="95" spans="2:8" ht="13.9" x14ac:dyDescent="0.4">
      <c r="B95" s="28" t="s">
        <v>245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207</v>
      </c>
      <c r="C98" s="238">
        <f>C44</f>
        <v>0.3</v>
      </c>
      <c r="D98" s="267"/>
      <c r="E98" s="255">
        <f>F98</f>
        <v>0.3</v>
      </c>
      <c r="F98" s="255">
        <f>C98</f>
        <v>0.3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2888.HK : Standard Chartered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2888.HK</v>
      </c>
      <c r="D3" s="277"/>
      <c r="E3" s="87"/>
      <c r="F3" s="3" t="s">
        <v>1</v>
      </c>
      <c r="G3" s="132">
        <v>96.8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Standard Chartered</v>
      </c>
      <c r="D4" s="279"/>
      <c r="E4" s="87"/>
      <c r="F4" s="3" t="s">
        <v>2</v>
      </c>
      <c r="G4" s="282">
        <f>Inputs!C10</f>
        <v>2454657755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45606</v>
      </c>
      <c r="D5" s="281"/>
      <c r="E5" s="34"/>
      <c r="F5" s="35" t="s">
        <v>99</v>
      </c>
      <c r="G5" s="274">
        <f>G3*G4/1000000</f>
        <v>237610.87068399999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USD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C0014</v>
      </c>
      <c r="E7" s="87"/>
      <c r="F7" s="35" t="s">
        <v>5</v>
      </c>
      <c r="G7" s="133">
        <v>7.7824133237202959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HK</v>
      </c>
      <c r="F16" s="110" t="s">
        <v>178</v>
      </c>
    </row>
    <row r="17" spans="1:8" ht="15.75" customHeight="1" thickTop="1" x14ac:dyDescent="0.4">
      <c r="B17" s="87" t="s">
        <v>253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3.4550297712315887E-2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0.30165569831818656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0.50814791601378884</v>
      </c>
      <c r="F24" s="140" t="s">
        <v>257</v>
      </c>
      <c r="G24" s="269">
        <f>G3/(Fin_Analysis!H86*G7)</f>
        <v>6.6964451878435911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0.1615118933412292</v>
      </c>
    </row>
    <row r="26" spans="1:8" ht="15.75" customHeight="1" x14ac:dyDescent="0.4">
      <c r="B26" s="138" t="s">
        <v>173</v>
      </c>
      <c r="C26" s="172">
        <f>Fin_Analysis!I83</f>
        <v>0.15564608795570867</v>
      </c>
      <c r="F26" s="141" t="s">
        <v>193</v>
      </c>
      <c r="G26" s="179">
        <f>Fin_Analysis!H88*Exchange_Rate/G3</f>
        <v>2.4119049556984389E-2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256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16.841220343802796</v>
      </c>
      <c r="D29" s="129">
        <f>G29*(1+G20)</f>
        <v>33.293208531750643</v>
      </c>
      <c r="E29" s="87"/>
      <c r="F29" s="131">
        <f>IF(Fin_Analysis!C108="Profit",Fin_Analysis!F100,IF(Fin_Analysis!C108="Dividend",Fin_Analysis!F103,Fin_Analysis!F106))</f>
        <v>19.813200404473879</v>
      </c>
      <c r="G29" s="273">
        <f>IF(Fin_Analysis!C108="Profit",Fin_Analysis!I100,IF(Fin_Analysis!C108="Dividend",Fin_Analysis!I103,Fin_Analysis!I106))</f>
        <v>28.950616114565779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25418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USD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38292</v>
      </c>
      <c r="D6" s="201">
        <f>IF(Inputs!D25="","",Inputs!D25)</f>
        <v>24836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0.54179416975358352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1323</v>
      </c>
      <c r="D8" s="200">
        <f>IF(Inputs!D26="","",Inputs!D26)</f>
        <v>1695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36969</v>
      </c>
      <c r="D9" s="152">
        <f t="shared" si="2"/>
        <v>23141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11551</v>
      </c>
      <c r="D10" s="200">
        <f>IF(Inputs!D27="","",Inputs!D27)</f>
        <v>10913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0.6637940039694975</v>
      </c>
      <c r="D13" s="230">
        <f t="shared" si="3"/>
        <v>0.49234981478498951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25418</v>
      </c>
      <c r="D14" s="231">
        <f t="shared" ref="D14:M14" si="4">IF(D6="","",D9-D10-MAX(D11,0)-MAX(D12,0))</f>
        <v>12228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1.0786719005561007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200">
        <f>IF(Inputs!C29="","",Inputs!C29)</f>
        <v>19458</v>
      </c>
      <c r="D17" s="200">
        <f>IF(Inputs!D29="","",Inputs!D29)</f>
        <v>7659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5960</v>
      </c>
      <c r="D22" s="162">
        <f t="shared" ref="D22:M22" si="8">IF(D6="","",D14-MAX(D16,0)-MAX(D17,0)-ABS(MAX(D21,0)-MAX(D19,0)))</f>
        <v>4569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0.1190692572861172</v>
      </c>
      <c r="D23" s="154">
        <f t="shared" si="9"/>
        <v>0.14073461910130455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4559.3999999999996</v>
      </c>
      <c r="D24" s="77">
        <f>IF(D6="","",D22*(1-Fin_Analysis!$I$84))</f>
        <v>3495.2849999999999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0.3044429853359597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3.4550297712315887E-2</v>
      </c>
      <c r="D42" s="157">
        <f t="shared" si="34"/>
        <v>6.8247704944435494E-2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0.30165569831818656</v>
      </c>
      <c r="D43" s="154">
        <f t="shared" si="35"/>
        <v>0.43940248027057499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0.50814791601378884</v>
      </c>
      <c r="D45" s="154">
        <f t="shared" si="37"/>
        <v>0.30838299243034306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0.15564608795570875</v>
      </c>
      <c r="D48" s="154">
        <f t="shared" si="40"/>
        <v>0.18396682235464648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3.2647651006711409</v>
      </c>
      <c r="D55" s="154">
        <f t="shared" si="45"/>
        <v>1.6762967826657913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38292</v>
      </c>
      <c r="D74" s="210"/>
      <c r="E74" s="239">
        <f>Inputs!E91</f>
        <v>38292</v>
      </c>
      <c r="F74" s="210"/>
      <c r="H74" s="239">
        <f>Inputs!F91</f>
        <v>38292</v>
      </c>
      <c r="I74" s="210"/>
      <c r="K74" s="24"/>
    </row>
    <row r="75" spans="1:11" ht="15" customHeight="1" x14ac:dyDescent="0.4">
      <c r="B75" s="104" t="s">
        <v>105</v>
      </c>
      <c r="C75" s="77">
        <f>Data!C8</f>
        <v>1323</v>
      </c>
      <c r="D75" s="160">
        <f>C75/$C$74</f>
        <v>3.4550297712315887E-2</v>
      </c>
      <c r="E75" s="239">
        <f>Inputs!E92</f>
        <v>1323</v>
      </c>
      <c r="F75" s="161">
        <f>E75/E74</f>
        <v>3.4550297712315887E-2</v>
      </c>
      <c r="H75" s="239">
        <f>Inputs!F92</f>
        <v>1323</v>
      </c>
      <c r="I75" s="161">
        <f>H75/$H$74</f>
        <v>3.4550297712315887E-2</v>
      </c>
      <c r="K75" s="24"/>
    </row>
    <row r="76" spans="1:11" ht="15" customHeight="1" x14ac:dyDescent="0.4">
      <c r="B76" s="35" t="s">
        <v>95</v>
      </c>
      <c r="C76" s="162">
        <f>C74-C75</f>
        <v>36969</v>
      </c>
      <c r="D76" s="211"/>
      <c r="E76" s="163">
        <f>E74-E75</f>
        <v>36969</v>
      </c>
      <c r="F76" s="211"/>
      <c r="H76" s="163">
        <f>H74-H75</f>
        <v>36969</v>
      </c>
      <c r="I76" s="211"/>
      <c r="K76" s="24"/>
    </row>
    <row r="77" spans="1:11" ht="15" customHeight="1" x14ac:dyDescent="0.4">
      <c r="B77" s="104" t="s">
        <v>246</v>
      </c>
      <c r="C77" s="77">
        <f>Data!C10+MAX(Data!C11,0)</f>
        <v>11551</v>
      </c>
      <c r="D77" s="160">
        <f>C77/$C$74</f>
        <v>0.30165569831818656</v>
      </c>
      <c r="E77" s="239">
        <f>Inputs!E93</f>
        <v>11551</v>
      </c>
      <c r="F77" s="161">
        <f>E77/E74</f>
        <v>0.30165569831818656</v>
      </c>
      <c r="H77" s="239">
        <f>Inputs!F93</f>
        <v>11551</v>
      </c>
      <c r="I77" s="161">
        <f>H77/$H$74</f>
        <v>0.30165569831818656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232</v>
      </c>
      <c r="C79" s="258">
        <f>C76-C77-C78</f>
        <v>25418</v>
      </c>
      <c r="D79" s="259">
        <f>C79/C74</f>
        <v>0.6637940039694975</v>
      </c>
      <c r="E79" s="260">
        <f>E76-E77-E78</f>
        <v>25418</v>
      </c>
      <c r="F79" s="259">
        <f>E79/E74</f>
        <v>0.6637940039694975</v>
      </c>
      <c r="G79" s="261"/>
      <c r="H79" s="260">
        <f>H76-H77-H78</f>
        <v>25418</v>
      </c>
      <c r="I79" s="259">
        <f>H79/H74</f>
        <v>0.6637940039694975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255</v>
      </c>
      <c r="C81" s="77">
        <f>MAX(Data!C17,0)</f>
        <v>19458</v>
      </c>
      <c r="D81" s="160">
        <f>C81/$C$74</f>
        <v>0.50814791601378884</v>
      </c>
      <c r="E81" s="181">
        <f>E74*F81</f>
        <v>19458.000000000004</v>
      </c>
      <c r="F81" s="161">
        <f>I81</f>
        <v>0.50814791601378884</v>
      </c>
      <c r="H81" s="239">
        <f>Inputs!F94</f>
        <v>19458.000000000004</v>
      </c>
      <c r="I81" s="161">
        <f>H81/$H$74</f>
        <v>0.50814791601378884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5960</v>
      </c>
      <c r="D83" s="165">
        <f>C83/$C$74</f>
        <v>0.15564608795570875</v>
      </c>
      <c r="E83" s="166">
        <f>E79-E81-E82-E80</f>
        <v>5959.9999999999964</v>
      </c>
      <c r="F83" s="165">
        <f>E83/E74</f>
        <v>0.15564608795570867</v>
      </c>
      <c r="H83" s="166">
        <f>H79-H81-H82-H80</f>
        <v>5959.9999999999964</v>
      </c>
      <c r="I83" s="165">
        <f>H83/$H$74</f>
        <v>0.15564608795570867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0.23499999999999999</v>
      </c>
      <c r="E84" s="213"/>
      <c r="F84" s="180">
        <f t="shared" ref="F84" si="3">I84</f>
        <v>0.23499999999999999</v>
      </c>
      <c r="H84" s="213"/>
      <c r="I84" s="203">
        <f>Inputs!C16</f>
        <v>0.23499999999999999</v>
      </c>
      <c r="K84" s="24"/>
    </row>
    <row r="85" spans="1:11" ht="15" customHeight="1" x14ac:dyDescent="0.4">
      <c r="B85" s="264" t="s">
        <v>164</v>
      </c>
      <c r="C85" s="258">
        <f>C83*(1-I84)</f>
        <v>4559.3999999999996</v>
      </c>
      <c r="D85" s="259">
        <f>C85/$C$74</f>
        <v>0.1190692572861172</v>
      </c>
      <c r="E85" s="265">
        <f>E83*(1-F84)</f>
        <v>4559.3999999999969</v>
      </c>
      <c r="F85" s="259">
        <f>E85/E74</f>
        <v>0.11906925728611713</v>
      </c>
      <c r="G85" s="261"/>
      <c r="H85" s="265">
        <f>H83*(1-I84)</f>
        <v>4559.3999999999969</v>
      </c>
      <c r="I85" s="259">
        <f>H85/$H$74</f>
        <v>0.11906925728611713</v>
      </c>
      <c r="K85" s="24"/>
    </row>
    <row r="86" spans="1:11" ht="15" customHeight="1" x14ac:dyDescent="0.4">
      <c r="B86" s="87" t="s">
        <v>160</v>
      </c>
      <c r="C86" s="168">
        <f>C85*Data!C4/Common_Shares</f>
        <v>1.8574483512875708</v>
      </c>
      <c r="D86" s="210"/>
      <c r="E86" s="169">
        <f>E85*Data!C4/Common_Shares</f>
        <v>1.8574483512875697</v>
      </c>
      <c r="F86" s="210"/>
      <c r="H86" s="169">
        <f>H85*Data!C4/Common_Shares</f>
        <v>1.8574483512875697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0.1493329627808129</v>
      </c>
      <c r="D87" s="210"/>
      <c r="E87" s="263">
        <f>E86*Exchange_Rate/Dashboard!G3</f>
        <v>0.14933296278081279</v>
      </c>
      <c r="F87" s="210"/>
      <c r="H87" s="263">
        <f>H86*Exchange_Rate/Dashboard!G3</f>
        <v>0.14933296278081279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0.3</v>
      </c>
      <c r="D88" s="167">
        <f>C88/C86</f>
        <v>0.16151189334122912</v>
      </c>
      <c r="E88" s="171">
        <f>Inputs!E98</f>
        <v>0.3</v>
      </c>
      <c r="F88" s="167">
        <f>E88/E86</f>
        <v>0.1615118933412292</v>
      </c>
      <c r="H88" s="171">
        <f>Inputs!F98</f>
        <v>0.3</v>
      </c>
      <c r="I88" s="167">
        <f>H88/H86</f>
        <v>0.1615118933412292</v>
      </c>
      <c r="K88" s="24"/>
    </row>
    <row r="89" spans="1:11" ht="15" customHeight="1" x14ac:dyDescent="0.4">
      <c r="B89" s="87" t="s">
        <v>221</v>
      </c>
      <c r="C89" s="262">
        <f>C88*Exchange_Rate/Dashboard!G3</f>
        <v>2.4119049556984389E-2</v>
      </c>
      <c r="D89" s="210"/>
      <c r="E89" s="262">
        <f>E88*Exchange_Rate/Dashboard!G3</f>
        <v>2.4119049556984389E-2</v>
      </c>
      <c r="F89" s="210"/>
      <c r="H89" s="262">
        <f>H88*Exchange_Rate/Dashboard!G3</f>
        <v>2.4119049556984389E-2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HK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209</v>
      </c>
      <c r="F93" s="144">
        <f>FV(E87,D93,0,-(E86/C93))*Exchange_Rate</f>
        <v>439.25469832579785</v>
      </c>
      <c r="H93" s="87" t="s">
        <v>209</v>
      </c>
      <c r="I93" s="144">
        <f>FV(H87,D93,0,-(H86/C93))*Exchange_Rate</f>
        <v>439.25469832579785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39.85142304091643</v>
      </c>
      <c r="H94" s="87" t="s">
        <v>210</v>
      </c>
      <c r="I94" s="144">
        <f>FV(H89,D93,0,-(H88/C93))*Exchange_Rate</f>
        <v>39.85142304091643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536065.87550258555</v>
      </c>
      <c r="D97" s="214"/>
      <c r="E97" s="123">
        <f>PV(C94,D93,0,-F93)</f>
        <v>218.38721687805537</v>
      </c>
      <c r="F97" s="214"/>
      <c r="H97" s="123">
        <f>PV(C94,D93,0,-I93)</f>
        <v>218.38721687805537</v>
      </c>
      <c r="I97" s="123">
        <f>PV(C93,D93,0,-I93)</f>
        <v>319.10263617670648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536065.87550258555</v>
      </c>
      <c r="D100" s="109">
        <f>MIN(F100*(1-C94),E100)</f>
        <v>185.62913434634706</v>
      </c>
      <c r="E100" s="109">
        <f>MAX(E97-H98+E99,0)</f>
        <v>218.38721687805537</v>
      </c>
      <c r="F100" s="109">
        <f>(E100+H100)/2</f>
        <v>218.38721687805537</v>
      </c>
      <c r="H100" s="109">
        <f>MAX(C100*Data!$C$4/Common_Shares,0)</f>
        <v>218.3872168780554</v>
      </c>
      <c r="I100" s="109">
        <f>MAX(I97-H98+H99,0)</f>
        <v>319.10263617670648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48634.626024210942</v>
      </c>
      <c r="D103" s="109">
        <f>MIN(F103*(1-C94),E103)</f>
        <v>16.841220343802796</v>
      </c>
      <c r="E103" s="123">
        <f>PV(C94,D93,0,-F94)</f>
        <v>19.813200404473879</v>
      </c>
      <c r="F103" s="109">
        <f>(E103+H103)/2</f>
        <v>19.813200404473879</v>
      </c>
      <c r="H103" s="123">
        <f>PV(C94,D93,0,-I94)</f>
        <v>19.813200404473879</v>
      </c>
      <c r="I103" s="109">
        <f>PV(C93,D93,0,-I94)</f>
        <v>28.950616114565779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292350.25076339825</v>
      </c>
      <c r="D106" s="109">
        <f>(D100+D103)/2</f>
        <v>101.23517734507493</v>
      </c>
      <c r="E106" s="123">
        <f>(E100+E103)/2</f>
        <v>119.10020864126463</v>
      </c>
      <c r="F106" s="109">
        <f>(F100+F103)/2</f>
        <v>119.10020864126463</v>
      </c>
      <c r="H106" s="123">
        <f>(H100+H103)/2</f>
        <v>119.10020864126464</v>
      </c>
      <c r="I106" s="123">
        <f>(I100+I103)/2</f>
        <v>174.02662614563613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2024-12-03T08:57:58Z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