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A65948C-5729-4F31-A631-B10FAB2B7E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7" i="4"/>
  <c r="C37" i="4"/>
  <c r="F32" i="4"/>
  <c r="E32" i="4"/>
  <c r="D32" i="4"/>
  <c r="C32" i="4"/>
  <c r="F31" i="4"/>
  <c r="E31" i="4"/>
  <c r="D31" i="4"/>
  <c r="C31" i="4"/>
  <c r="D93" i="3"/>
  <c r="F96" i="4" l="1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H27" i="2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<sst xmlns="http://schemas.openxmlformats.org/spreadsheetml/2006/main" count="403" uniqueCount="286">
  <si>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</si>
  <si>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</si>
  <si>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</si>
  <si>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</si>
  <si>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</si>
  <si>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</si>
  <si>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</si>
  <si>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</si>
  <si>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</si>
  <si>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</si>
  <si>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</si>
  <si>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</si>
  <si>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</si>
  <si>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</si>
  <si>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</si>
  <si>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</si>
  <si>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</si>
  <si>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</si>
  <si>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</si>
  <si>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</si>
  <si>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</si>
  <si>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</si>
  <si>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</si>
  <si>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</si>
  <si>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</si>
  <si>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</si>
  <si>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</si>
  <si>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</si>
  <si>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</si>
  <si>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</si>
  <si>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</si>
  <si>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</si>
  <si>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</si>
  <si>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</si>
  <si>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</si>
  <si>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</si>
  <si>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</si>
  <si>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</si>
  <si>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</si>
  <si>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</si>
  <si>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</si>
  <si>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</si>
  <si>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</si>
  <si>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</si>
  <si>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</si>
  <si>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</si>
  <si>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</si>
  <si>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</si>
  <si>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</si>
  <si>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</si>
  <si>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</si>
  <si>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</si>
  <si>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</si>
  <si>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</si>
  <si>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</si>
  <si>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</si>
  <si>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</si>
  <si>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</si>
  <si>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</si>
  <si>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</si>
  <si>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</si>
  <si>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</si>
  <si>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</si>
  <si>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</si>
  <si>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</si>
  <si>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</si>
  <si>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</si>
  <si>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</si>
  <si>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</si>
  <si>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</si>
  <si>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</si>
  <si>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</si>
  <si>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</si>
  <si>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</si>
  <si>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</si>
  <si>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</si>
  <si>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</si>
  <si>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</si>
  <si>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</si>
  <si>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</si>
  <si>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</si>
  <si>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</si>
  <si>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</si>
  <si>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</si>
  <si>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</si>
  <si>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</si>
  <si>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</si>
  <si>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</si>
  <si>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</si>
  <si>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</si>
  <si>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</si>
  <si>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</si>
  <si>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</si>
  <si>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</si>
  <si>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</si>
  <si>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</si>
  <si>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</si>
  <si>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</si>
  <si>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</si>
  <si>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</si>
  <si>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</si>
  <si>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</si>
  <si>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</si>
  <si>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</si>
  <si>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</si>
  <si>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</si>
  <si>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</si>
  <si>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</si>
  <si>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</si>
  <si>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</si>
  <si>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</si>
  <si>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</si>
  <si>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</si>
  <si>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</si>
  <si>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</si>
  <si>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</si>
  <si>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</si>
  <si>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</si>
  <si>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</si>
  <si>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</si>
  <si>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</si>
  <si>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</si>
  <si>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</si>
  <si>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</si>
  <si>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</si>
  <si>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</si>
  <si>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</si>
  <si>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</si>
  <si>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</si>
  <si>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</si>
  <si>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</si>
  <si>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</si>
  <si>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</si>
  <si>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</si>
  <si>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</si>
  <si>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</si>
  <si>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</si>
  <si>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</si>
  <si>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</si>
  <si>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</si>
  <si>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</si>
  <si>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</si>
  <si>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</si>
  <si>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</si>
  <si>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</si>
  <si>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</si>
  <si>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</si>
  <si>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</si>
  <si>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</si>
  <si>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</si>
  <si>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</si>
  <si>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</si>
  <si>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</si>
  <si>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</si>
  <si>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</si>
  <si>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</si>
  <si>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</si>
  <si>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</si>
  <si>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</si>
  <si>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</si>
  <si>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</si>
  <si>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</si>
  <si>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</si>
  <si>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</si>
  <si>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</si>
  <si>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</si>
  <si>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</si>
  <si>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</si>
  <si>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</si>
  <si>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</si>
  <si>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</si>
  <si>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</si>
  <si>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</si>
  <si>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</si>
  <si>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</si>
  <si>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</si>
  <si>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</si>
  <si>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</si>
  <si>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</si>
  <si>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</si>
  <si>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</si>
  <si>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</si>
  <si>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</si>
  <si>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</si>
  <si>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</si>
  <si>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</si>
  <si>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</si>
  <si>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</si>
  <si>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</si>
  <si>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</si>
  <si>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</si>
  <si>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</si>
  <si>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</si>
  <si>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</si>
  <si>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</si>
  <si>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</si>
  <si>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</si>
  <si>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</si>
  <si>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</si>
  <si>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</si>
  <si>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</si>
  <si>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</si>
  <si>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</si>
  <si>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</si>
  <si>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</si>
  <si>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</si>
  <si>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</si>
  <si>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</si>
  <si>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</si>
  <si>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</si>
  <si>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</si>
  <si>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</si>
  <si>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</si>
  <si>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</si>
  <si>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</si>
  <si>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</si>
  <si>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</si>
  <si>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</si>
  <si>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</si>
  <si>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</si>
  <si>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</si>
  <si>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</si>
  <si>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</si>
  <si>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</si>
  <si>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</si>
  <si>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</si>
  <si>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</si>
  <si>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</si>
  <si>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</si>
  <si>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</si>
  <si>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</si>
  <si>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</si>
  <si>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</si>
  <si>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</si>
  <si>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</si>
  <si>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</si>
  <si>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</si>
  <si>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</si>
  <si>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</si>
  <si>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</si>
  <si>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</si>
  <si>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</si>
  <si>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</si>
  <si>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</si>
  <si>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</si>
  <si>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</si>
  <si>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</si>
  <si>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</si>
  <si>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</si>
  <si>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</si>
  <si>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</si>
  <si>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</si>
  <si>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</si>
  <si>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</si>
  <si>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</si>
  <si>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</si>
  <si>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</si>
  <si>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</si>
  <si>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</si>
  <si>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</si>
  <si>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</si>
  <si>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</si>
  <si>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</si>
  <si>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</si>
  <si>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</si>
  <si>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</si>
  <si>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</si>
  <si>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</si>
  <si>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</si>
  <si>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</si>
  <si>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</si>
  <si>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</si>
  <si>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</si>
  <si>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</si>
  <si>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</si>
  <si>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</si>
  <si>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</si>
  <si>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</si>
  <si>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</si>
  <si>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</si>
  <si>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</si>
  <si>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0303.HK</t>
  </si>
  <si>
    <t>VTECH</t>
  </si>
  <si>
    <t xml:space="preserve">Superior Cycl. </t>
  </si>
  <si>
    <t>C0007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</si>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</sst>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45639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253069133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0.23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11</v>
      </c>
      <c r="C25" s="80">
        <v>2145700</v>
      </c>
      <c r="D25" s="80">
        <v>2241700</v>
      </c>
      <c r="E25" s="80">
        <v>2370500</v>
      </c>
      <c r="F25" s="80">
        <v>2372300</v>
      </c>
      <c r="G25" s="80">
        <v>2165500</v>
      </c>
      <c r="H25" s="80">
        <v>2161900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1510800</v>
      </c>
      <c r="D26" s="82">
        <v>1608000</v>
      </c>
      <c r="E26" s="82">
        <v>1701400</v>
      </c>
      <c r="F26" s="82">
        <v>1645700</v>
      </c>
      <c r="G26" s="82">
        <v>1501900</v>
      </c>
      <c r="H26" s="82">
        <v>1525500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356300</v>
      </c>
      <c r="D27" s="82">
        <v>371600</v>
      </c>
      <c r="E27" s="82">
        <v>380500</v>
      </c>
      <c r="F27" s="82">
        <v>378200</v>
      </c>
      <c r="G27" s="82">
        <v>368100</v>
      </c>
      <c r="H27" s="82">
        <v>371900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81700</v>
      </c>
      <c r="D28" s="82">
        <v>83300</v>
      </c>
      <c r="E28" s="82">
        <v>84300</v>
      </c>
      <c r="F28" s="82">
        <v>86400</v>
      </c>
      <c r="G28" s="82">
        <v>81700</v>
      </c>
      <c r="H28" s="82">
        <v>77200</v>
      </c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4900</v>
      </c>
      <c r="D29" s="82">
        <v>12000</v>
      </c>
      <c r="E29" s="82">
        <v>9600</v>
      </c>
      <c r="F29" s="82">
        <v>7300</v>
      </c>
      <c r="G29" s="82">
        <v>7400</v>
      </c>
      <c r="H29" s="82">
        <v>900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(-127.5-40.3+48.2+1.6+0.1)*1000</f>
        <v>-117900.00000000001</v>
      </c>
      <c r="D31" s="82">
        <f>(-77.8-60+100.3+2.7+0.3)*1000</f>
        <v>-34500.000000000015</v>
      </c>
      <c r="E31" s="82">
        <f>(139.3+63.6-109.2-1.9)*1000</f>
        <v>91800</v>
      </c>
      <c r="F31" s="82">
        <f>(41.4+49.7-67.5-2.2-0.2)*1000</f>
        <v>21199.999999999996</v>
      </c>
      <c r="G31" s="82">
        <v>11500</v>
      </c>
      <c r="H31" s="82">
        <v>-43500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33200+21600+600</f>
        <v>55400</v>
      </c>
      <c r="D32" s="82">
        <f>34700+21100+700</f>
        <v>56500</v>
      </c>
      <c r="E32" s="82">
        <f>(41.4+22.4+0.8)*1000</f>
        <v>64599.999999999993</v>
      </c>
      <c r="F32" s="82">
        <f>(36.6+21.8+0.9)*1000</f>
        <v>59300.000000000007</v>
      </c>
      <c r="G32" s="82">
        <v>57200</v>
      </c>
      <c r="H32" s="82">
        <v>38000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32400</v>
      </c>
      <c r="D33" s="82">
        <v>27900</v>
      </c>
      <c r="E33" s="82">
        <v>35900</v>
      </c>
      <c r="F33" s="82">
        <v>49400</v>
      </c>
      <c r="G33" s="82">
        <v>33200</v>
      </c>
      <c r="H33" s="82">
        <v>37300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>
        <v>1142200</v>
      </c>
      <c r="F34" s="82">
        <v>1080300</v>
      </c>
      <c r="G34" s="82">
        <v>889800</v>
      </c>
      <c r="H34" s="82">
        <v>929600</v>
      </c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669800+139500</f>
        <v>809300</v>
      </c>
      <c r="D37" s="82">
        <f>517200+166500</f>
        <v>683700</v>
      </c>
      <c r="E37" s="82">
        <v>628000</v>
      </c>
      <c r="F37" s="82">
        <v>523000</v>
      </c>
      <c r="G37" s="82">
        <v>441900</v>
      </c>
      <c r="H37" s="82">
        <v>476500</v>
      </c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>
        <v>20600</v>
      </c>
      <c r="F39" s="82">
        <v>17500</v>
      </c>
      <c r="G39" s="82">
        <v>17900</v>
      </c>
      <c r="H39" s="82">
        <v>0</v>
      </c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>
        <v>176500</v>
      </c>
      <c r="F40" s="82">
        <v>188600</v>
      </c>
      <c r="G40" s="82">
        <v>147300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627000</v>
      </c>
      <c r="D41" s="82">
        <v>634700</v>
      </c>
      <c r="E41" s="82">
        <v>678800</v>
      </c>
      <c r="F41" s="82">
        <v>731100</v>
      </c>
      <c r="G41" s="82">
        <v>601500</v>
      </c>
      <c r="H41" s="82">
        <v>607000</v>
      </c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>
        <v>0</v>
      </c>
      <c r="H42" s="82">
        <v>0</v>
      </c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0.48+0.17</f>
        <v>0.65</v>
      </c>
      <c r="D44" s="86">
        <f>0.42+0.17</f>
        <v>0.59</v>
      </c>
      <c r="E44" s="86">
        <f>0.51+0.17</f>
        <v>0.68</v>
      </c>
      <c r="F44" s="86">
        <f>0.74+0.17</f>
        <v>0.91</v>
      </c>
      <c r="G44" s="86">
        <f>0.36+0.17</f>
        <v>0.53</v>
      </c>
      <c r="H44" s="86">
        <f>0.5+0.17</f>
        <v>0.67</v>
      </c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9.6879442151509565E-2</v>
      </c>
      <c r="D45" s="87">
        <f>IF(D44="","",D44*Exchange_Rate/Dashboard!$G$3)</f>
        <v>8.7936724414447137E-2</v>
      </c>
      <c r="E45" s="87">
        <f>IF(E44="","",E44*Exchange_Rate/Dashboard!$G$3)</f>
        <v>0.10135080102004079</v>
      </c>
      <c r="F45" s="87">
        <f>IF(F44="","",F44*Exchange_Rate/Dashboard!$G$3)</f>
        <v>0.13563121901211339</v>
      </c>
      <c r="G45" s="87">
        <f>IF(G44="","",G44*Exchange_Rate/Dashboard!$G$3)</f>
        <v>7.8994006677384737E-2</v>
      </c>
      <c r="H45" s="87">
        <f>IF(H44="","",H44*Exchange_Rate/Dashboard!$G$3)</f>
        <v>9.9860348063863708E-2</v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45382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2145700</v>
      </c>
      <c r="D91" s="103"/>
      <c r="E91" s="104">
        <f>C91</f>
        <v>2145700</v>
      </c>
      <c r="F91" s="104">
        <f>C91</f>
        <v>2145700</v>
      </c>
    </row>
    <row r="92" spans="2:8" x14ac:dyDescent="0.35">
      <c r="B92" s="105" t="s">
        <v>97</v>
      </c>
      <c r="C92" s="102">
        <f>C26</f>
        <v>1510800</v>
      </c>
      <c r="D92" s="106">
        <f>C92/C91</f>
        <v>0.70410588619098657</v>
      </c>
      <c r="E92" s="107">
        <f>E91*D92</f>
        <v>1510800</v>
      </c>
      <c r="F92" s="107">
        <f>F91*D92</f>
        <v>1510800</v>
      </c>
    </row>
    <row r="93" spans="2:8" x14ac:dyDescent="0.35">
      <c r="B93" s="105" t="s">
        <v>218</v>
      </c>
      <c r="C93" s="102">
        <f>C27+C28</f>
        <v>438000</v>
      </c>
      <c r="D93" s="106">
        <f>C93/C91</f>
        <v>0.20412918860977769</v>
      </c>
      <c r="E93" s="107">
        <f>E91*D93</f>
        <v>438000</v>
      </c>
      <c r="F93" s="107">
        <f>F91*D93</f>
        <v>438000</v>
      </c>
    </row>
    <row r="94" spans="2:8" x14ac:dyDescent="0.35">
      <c r="B94" s="105" t="s">
        <v>224</v>
      </c>
      <c r="C94" s="102">
        <f>C29</f>
        <v>4900</v>
      </c>
      <c r="D94" s="106">
        <f>C94/C91</f>
        <v>2.2836370415249105E-3</v>
      </c>
      <c r="E94" s="108"/>
      <c r="F94" s="107">
        <f>F91*D94</f>
        <v>4900.0000000000009</v>
      </c>
    </row>
    <row r="95" spans="2:8" x14ac:dyDescent="0.35">
      <c r="B95" s="18" t="s">
        <v>217</v>
      </c>
      <c r="C95" s="102">
        <f>ABS(MAX(C33,0)-C32)</f>
        <v>23000</v>
      </c>
      <c r="D95" s="106">
        <f>C95/C91</f>
        <v>1.0719112643892435E-2</v>
      </c>
      <c r="E95" s="107">
        <f>E91*D95</f>
        <v>23000</v>
      </c>
      <c r="F95" s="107">
        <f>F91*D95</f>
        <v>23000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0.65</v>
      </c>
      <c r="D98" s="110"/>
      <c r="E98" s="111">
        <f>F98</f>
        <v>0.65</v>
      </c>
      <c r="F98" s="111">
        <f>C98</f>
        <v>0.65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0303.HK : VTECH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0303.HK</v>
      </c>
      <c r="D3" s="316"/>
      <c r="E3" s="3"/>
      <c r="F3" s="9" t="s">
        <v>1</v>
      </c>
      <c r="G3" s="10">
        <v>52.1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VTECH</v>
      </c>
      <c r="D4" s="318"/>
      <c r="E4" s="3"/>
      <c r="F4" s="9" t="s">
        <v>2</v>
      </c>
      <c r="G4" s="321">
        <f>Inputs!C10</f>
        <v>253069133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45639</v>
      </c>
      <c r="D5" s="320"/>
      <c r="E5" s="16"/>
      <c r="F5" s="12" t="s">
        <v>91</v>
      </c>
      <c r="G5" s="313">
        <f>G3*G4/1000000</f>
        <v>13184.901829300001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45382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7.7652599016825361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0.31403508771929822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9.1764925199235681E-2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1.4939079579475041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2.290749601275917</v>
      </c>
      <c r="F23" s="39" t="s">
        <v>165</v>
      </c>
      <c r="G23" s="40">
        <f>G3/(Data!C34*Data!C4/Common_Shares*Exchange_Rate)</f>
        <v>2.7080293291053428</v>
      </c>
    </row>
    <row r="24" spans="1:8" ht="15.75" customHeight="1" x14ac:dyDescent="0.35">
      <c r="B24" s="41" t="s">
        <v>241</v>
      </c>
      <c r="C24" s="42">
        <f>Fin_Analysis!I81</f>
        <v>2.2836370415249105E-3</v>
      </c>
      <c r="F24" s="39" t="s">
        <v>226</v>
      </c>
      <c r="G24" s="43">
        <f>G3/(Fin_Analysis!H86*G7)</f>
        <v>13.047985778445016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1.2640815834165835</v>
      </c>
    </row>
    <row r="26" spans="1:8" ht="15.75" customHeight="1" x14ac:dyDescent="0.35">
      <c r="B26" s="45" t="s">
        <v>243</v>
      </c>
      <c r="C26" s="44">
        <f>Fin_Analysis!I80+Fin_Analysis!I82</f>
        <v>1.0719112643892435E-2</v>
      </c>
      <c r="F26" s="46" t="s">
        <v>168</v>
      </c>
      <c r="G26" s="47">
        <f>Fin_Analysis!H88*Exchange_Rate/G3</f>
        <v>9.6879442151509565E-2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24.830888342767338</v>
      </c>
      <c r="D29" s="54">
        <f>G29*(1+G20)</f>
        <v>46.350038791333375</v>
      </c>
      <c r="E29" s="3"/>
      <c r="F29" s="55">
        <f>IF(Fin_Analysis!C108="Profit",Fin_Analysis!F100,IF(Fin_Analysis!C108="Dividend",Fin_Analysis!F103,Fin_Analysis!F106))</f>
        <v>29.2128098150204</v>
      </c>
      <c r="G29" s="312">
        <f>IF(Fin_Analysis!C108="Profit",Fin_Analysis!I100,IF(Fin_Analysis!C108="Dividend",Fin_Analysis!I103,Fin_Analysis!I106))</f>
        <v>40.304381557681197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45382</v>
      </c>
      <c r="E3" s="143" t="s">
        <v>175</v>
      </c>
      <c r="F3" s="144">
        <f>H14</f>
        <v>187300</v>
      </c>
      <c r="G3" s="144">
        <f>C14</f>
        <v>196900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>
        <f>(G3/F3)^(1/H3)-1</f>
        <v>8.3655264529756135E-3</v>
      </c>
      <c r="J4" s="3"/>
    </row>
    <row r="5" spans="1:14" ht="15.75" customHeight="1" x14ac:dyDescent="0.35">
      <c r="A5" s="134"/>
      <c r="B5" s="76" t="s">
        <v>123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11</v>
      </c>
      <c r="C6" s="147">
        <f>IF(Inputs!C25=""," ",Inputs!C25)</f>
        <v>2145700</v>
      </c>
      <c r="D6" s="147">
        <f>IF(Inputs!D25="","",Inputs!D25)</f>
        <v>2241700</v>
      </c>
      <c r="E6" s="147">
        <f>IF(Inputs!E25="","",Inputs!E25)</f>
        <v>2370500</v>
      </c>
      <c r="F6" s="147">
        <f>IF(Inputs!F25="","",Inputs!F25)</f>
        <v>2372300</v>
      </c>
      <c r="G6" s="147">
        <f>IF(Inputs!G25="","",Inputs!G25)</f>
        <v>2165500</v>
      </c>
      <c r="H6" s="147">
        <f>IF(Inputs!H25="","",Inputs!H25)</f>
        <v>2161900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-4.2824642012758152E-2</v>
      </c>
      <c r="D7" s="148">
        <f t="shared" si="1"/>
        <v>-5.4334528580468278E-2</v>
      </c>
      <c r="E7" s="148">
        <f t="shared" si="1"/>
        <v>-7.5875732411578856E-4</v>
      </c>
      <c r="F7" s="148">
        <f t="shared" si="1"/>
        <v>9.5497575617640162E-2</v>
      </c>
      <c r="G7" s="148">
        <f t="shared" si="1"/>
        <v>1.6652019057310508E-3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1510800</v>
      </c>
      <c r="D8" s="149">
        <f>IF(Inputs!D26="","",Inputs!D26)</f>
        <v>1608000</v>
      </c>
      <c r="E8" s="149">
        <f>IF(Inputs!E26="","",Inputs!E26)</f>
        <v>1701400</v>
      </c>
      <c r="F8" s="149">
        <f>IF(Inputs!F26="","",Inputs!F26)</f>
        <v>1645700</v>
      </c>
      <c r="G8" s="149">
        <f>IF(Inputs!G26="","",Inputs!G26)</f>
        <v>1501900</v>
      </c>
      <c r="H8" s="149">
        <f>IF(Inputs!H26="","",Inputs!H26)</f>
        <v>1525500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634900</v>
      </c>
      <c r="D9" s="279">
        <f t="shared" si="2"/>
        <v>633700</v>
      </c>
      <c r="E9" s="279">
        <f t="shared" si="2"/>
        <v>669100</v>
      </c>
      <c r="F9" s="279">
        <f t="shared" si="2"/>
        <v>726600</v>
      </c>
      <c r="G9" s="279">
        <f t="shared" si="2"/>
        <v>663600</v>
      </c>
      <c r="H9" s="279">
        <f t="shared" si="2"/>
        <v>636400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356300</v>
      </c>
      <c r="D10" s="149">
        <f>IF(Inputs!D27="","",Inputs!D27)</f>
        <v>371600</v>
      </c>
      <c r="E10" s="149">
        <f>IF(Inputs!E27="","",Inputs!E27)</f>
        <v>380500</v>
      </c>
      <c r="F10" s="149">
        <f>IF(Inputs!F27="","",Inputs!F27)</f>
        <v>378200</v>
      </c>
      <c r="G10" s="149">
        <f>IF(Inputs!G27="","",Inputs!G27)</f>
        <v>368100</v>
      </c>
      <c r="H10" s="149">
        <f>IF(Inputs!H27="","",Inputs!H27)</f>
        <v>371900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81700</v>
      </c>
      <c r="D11" s="149">
        <f>IF(Inputs!D28="","",Inputs!D28)</f>
        <v>83300</v>
      </c>
      <c r="E11" s="149">
        <f>IF(Inputs!E28="","",Inputs!E28)</f>
        <v>84300</v>
      </c>
      <c r="F11" s="149">
        <f>IF(Inputs!F28="","",Inputs!F28)</f>
        <v>86400</v>
      </c>
      <c r="G11" s="149">
        <f>IF(Inputs!G28="","",Inputs!G28)</f>
        <v>81700</v>
      </c>
      <c r="H11" s="149">
        <f>IF(Inputs!H28="","",Inputs!H28)</f>
        <v>77200</v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>
        <f>IF(Inputs!H30="","",MAX(Inputs!H30,0)/(1-Fin_Analysis!$I$84))</f>
        <v>0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9.1764925199235681E-2</v>
      </c>
      <c r="D13" s="300">
        <f t="shared" si="3"/>
        <v>7.9760895748762106E-2</v>
      </c>
      <c r="E13" s="300">
        <f t="shared" si="3"/>
        <v>8.6184349293398022E-2</v>
      </c>
      <c r="F13" s="300">
        <f t="shared" si="3"/>
        <v>0.11044134384352738</v>
      </c>
      <c r="G13" s="300">
        <f t="shared" si="3"/>
        <v>9.8730085430616482E-2</v>
      </c>
      <c r="H13" s="300">
        <f t="shared" si="3"/>
        <v>8.6636754706508168E-2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196900</v>
      </c>
      <c r="D14" s="302">
        <f t="shared" ref="D14:M14" si="4">IF(D6="","",D9-D10-MAX(D11,0)-MAX(D12,0))</f>
        <v>178800</v>
      </c>
      <c r="E14" s="302">
        <f t="shared" si="4"/>
        <v>204300</v>
      </c>
      <c r="F14" s="302">
        <f t="shared" si="4"/>
        <v>262000</v>
      </c>
      <c r="G14" s="302">
        <f t="shared" si="4"/>
        <v>213800</v>
      </c>
      <c r="H14" s="302">
        <f t="shared" si="4"/>
        <v>187300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0.10123042505592841</v>
      </c>
      <c r="D15" s="304">
        <f t="shared" ref="D15:M15" si="5">IF(E14="","",IF(ABS(D14+E14)=ABS(D14)+ABS(E14),IF(D14&lt;0,-1,1)*(D14-E14)/E14,"Turn"))</f>
        <v>-0.12481644640234948</v>
      </c>
      <c r="E15" s="304">
        <f t="shared" si="5"/>
        <v>-0.2202290076335878</v>
      </c>
      <c r="F15" s="304">
        <f t="shared" si="5"/>
        <v>0.225444340505145</v>
      </c>
      <c r="G15" s="304">
        <f t="shared" si="5"/>
        <v>0.1414842498665243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-117900.00000000001</v>
      </c>
      <c r="D16" s="149">
        <f>IF(Inputs!D31="","",Inputs!D31)</f>
        <v>-34500.000000000015</v>
      </c>
      <c r="E16" s="149">
        <f>IF(Inputs!E31="","",Inputs!E31)</f>
        <v>91800</v>
      </c>
      <c r="F16" s="149">
        <f>IF(Inputs!F31="","",Inputs!F31)</f>
        <v>21199.999999999996</v>
      </c>
      <c r="G16" s="149">
        <f>IF(Inputs!G31="","",Inputs!G31)</f>
        <v>11500</v>
      </c>
      <c r="H16" s="149">
        <f>IF(Inputs!H31="","",Inputs!H31)</f>
        <v>-43500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4900</v>
      </c>
      <c r="D17" s="149">
        <f>IF(Inputs!D29="","",Inputs!D29)</f>
        <v>12000</v>
      </c>
      <c r="E17" s="149">
        <f>IF(Inputs!E29="","",Inputs!E29)</f>
        <v>9600</v>
      </c>
      <c r="F17" s="149">
        <f>IF(Inputs!F29="","",Inputs!F29)</f>
        <v>7300</v>
      </c>
      <c r="G17" s="149">
        <f>IF(Inputs!G29="","",Inputs!G29)</f>
        <v>7400</v>
      </c>
      <c r="H17" s="149">
        <f>IF(Inputs!H29="","",Inputs!H29)</f>
        <v>900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2.5819080020506129E-2</v>
      </c>
      <c r="D18" s="233">
        <f t="shared" si="6"/>
        <v>2.5204086184592051E-2</v>
      </c>
      <c r="E18" s="233">
        <f t="shared" si="6"/>
        <v>2.7251634676228639E-2</v>
      </c>
      <c r="F18" s="233">
        <f t="shared" si="6"/>
        <v>2.4996838511149519E-2</v>
      </c>
      <c r="G18" s="233">
        <f t="shared" si="6"/>
        <v>2.6414223043177094E-2</v>
      </c>
      <c r="H18" s="233">
        <f t="shared" si="6"/>
        <v>1.7577131227161293E-2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55400</v>
      </c>
      <c r="D19" s="149">
        <f>IF(Inputs!D32="","",Inputs!D32)</f>
        <v>56500</v>
      </c>
      <c r="E19" s="149">
        <f>IF(Inputs!E32="","",Inputs!E32)</f>
        <v>64599.999999999993</v>
      </c>
      <c r="F19" s="149">
        <f>IF(Inputs!F32="","",Inputs!F32)</f>
        <v>59300.000000000007</v>
      </c>
      <c r="G19" s="149">
        <f>IF(Inputs!G32="","",Inputs!G32)</f>
        <v>57200</v>
      </c>
      <c r="H19" s="149">
        <f>IF(Inputs!H32="","",Inputs!H32)</f>
        <v>38000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1.5099967376613692E-2</v>
      </c>
      <c r="D20" s="233">
        <f t="shared" si="7"/>
        <v>1.2445911584957845E-2</v>
      </c>
      <c r="E20" s="233">
        <f t="shared" si="7"/>
        <v>1.5144484286015608E-2</v>
      </c>
      <c r="F20" s="233">
        <f t="shared" si="7"/>
        <v>2.0823673228512415E-2</v>
      </c>
      <c r="G20" s="233">
        <f t="shared" si="7"/>
        <v>1.5331332255830062E-2</v>
      </c>
      <c r="H20" s="233">
        <f t="shared" si="7"/>
        <v>1.7253341967713585E-2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32400</v>
      </c>
      <c r="D21" s="149">
        <f>IF(Inputs!D33="","",Inputs!D33)</f>
        <v>27900</v>
      </c>
      <c r="E21" s="149">
        <f>IF(Inputs!E33="","",Inputs!E33)</f>
        <v>35900</v>
      </c>
      <c r="F21" s="149">
        <f>IF(Inputs!F33="","",Inputs!F33)</f>
        <v>49400</v>
      </c>
      <c r="G21" s="149">
        <f>IF(Inputs!G33="","",Inputs!G33)</f>
        <v>33200</v>
      </c>
      <c r="H21" s="149">
        <f>IF(Inputs!H33="","",Inputs!H33)</f>
        <v>37300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169000</v>
      </c>
      <c r="D22" s="283">
        <f t="shared" ref="D22:M22" si="8">IF(D6="","",D14-MAX(D16,0)-MAX(D17,0)-ABS(MAX(D21,0)-MAX(D19,0)))</f>
        <v>138200</v>
      </c>
      <c r="E22" s="283">
        <f t="shared" si="8"/>
        <v>74200</v>
      </c>
      <c r="F22" s="283">
        <f t="shared" si="8"/>
        <v>223600</v>
      </c>
      <c r="G22" s="283">
        <f t="shared" si="8"/>
        <v>170900</v>
      </c>
      <c r="H22" s="283">
        <f t="shared" si="8"/>
        <v>185700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6.0646875145640121E-2</v>
      </c>
      <c r="D23" s="148">
        <f t="shared" si="9"/>
        <v>4.7470223491100506E-2</v>
      </c>
      <c r="E23" s="148">
        <f t="shared" si="9"/>
        <v>2.4102088167053365E-2</v>
      </c>
      <c r="F23" s="148">
        <f t="shared" si="9"/>
        <v>7.2575981115373264E-2</v>
      </c>
      <c r="G23" s="148">
        <f t="shared" si="9"/>
        <v>6.0767951974139922E-2</v>
      </c>
      <c r="H23" s="148">
        <f t="shared" si="9"/>
        <v>6.6140432027383317E-2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130130</v>
      </c>
      <c r="D24" s="282">
        <f>IF(D6="","",D22*(1-Fin_Analysis!$I$84))</f>
        <v>106414</v>
      </c>
      <c r="E24" s="282">
        <f>IF(E6="","",E22*(1-Fin_Analysis!$I$84))</f>
        <v>57134</v>
      </c>
      <c r="F24" s="282">
        <f>IF(F6="","",F22*(1-Fin_Analysis!$I$84))</f>
        <v>172172</v>
      </c>
      <c r="G24" s="282">
        <f>IF(G6="","",G22*(1-Fin_Analysis!$I$84))</f>
        <v>131593</v>
      </c>
      <c r="H24" s="282">
        <f>IF(H6="","",H22*(1-Fin_Analysis!$I$84))</f>
        <v>142989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0.22286541244573083</v>
      </c>
      <c r="D25" s="152">
        <f t="shared" ref="D25:M25" si="10">IF(E24="","",IF(ABS(D24+E24)=ABS(D24)+ABS(E24),IF(D24&lt;0,-1,1)*(D24-E24)/E24,"Turn"))</f>
        <v>0.86253369272237201</v>
      </c>
      <c r="E25" s="152">
        <f t="shared" si="10"/>
        <v>-0.66815742397137745</v>
      </c>
      <c r="F25" s="152">
        <f t="shared" si="10"/>
        <v>0.30836746635459333</v>
      </c>
      <c r="G25" s="152">
        <f t="shared" si="10"/>
        <v>-7.9698438341410882E-2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1436300</v>
      </c>
      <c r="D27" s="153">
        <f>IF(D34="","",D34+D30)</f>
        <v>1318400</v>
      </c>
      <c r="E27" s="153">
        <f t="shared" ref="E27:M27" si="20">IF(E34="","",E34+E30)</f>
        <v>1306800</v>
      </c>
      <c r="F27" s="153">
        <f t="shared" si="20"/>
        <v>1254100</v>
      </c>
      <c r="G27" s="153">
        <f t="shared" si="20"/>
        <v>1043400</v>
      </c>
      <c r="H27" s="153">
        <f t="shared" si="20"/>
        <v>1083500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809300</v>
      </c>
      <c r="D30" s="149">
        <f>IF(Inputs!D37="","",Inputs!D37)</f>
        <v>683700</v>
      </c>
      <c r="E30" s="149">
        <f>IF(Inputs!E37="","",Inputs!E37)</f>
        <v>628000</v>
      </c>
      <c r="F30" s="149">
        <f>IF(Inputs!F37="","",Inputs!F37)</f>
        <v>523000</v>
      </c>
      <c r="G30" s="149">
        <f>IF(Inputs!G37="","",Inputs!G37)</f>
        <v>441900</v>
      </c>
      <c r="H30" s="149">
        <f>IF(Inputs!H37="","",Inputs!H37)</f>
        <v>476500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>
        <f>IF(Inputs!E39="","",Inputs!E39)</f>
        <v>20600</v>
      </c>
      <c r="F31" s="149">
        <f>IF(Inputs!F39="","",Inputs!F39)</f>
        <v>17500</v>
      </c>
      <c r="G31" s="149">
        <f>IF(Inputs!G39="","",Inputs!G39)</f>
        <v>17900</v>
      </c>
      <c r="H31" s="149">
        <f>IF(Inputs!H39="","",Inputs!H39)</f>
        <v>0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>
        <f>IF(Inputs!E40="","",Inputs!E40)</f>
        <v>176500</v>
      </c>
      <c r="F32" s="149">
        <f>IF(Inputs!F40="","",Inputs!F40)</f>
        <v>188600</v>
      </c>
      <c r="G32" s="149">
        <f>IF(Inputs!G40="","",Inputs!G40)</f>
        <v>147300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>
        <f t="shared" ref="E33" si="23">IF(OR(E31="",E32=""),"",E31+E32)</f>
        <v>197100</v>
      </c>
      <c r="F33" s="102">
        <f t="shared" ref="F33" si="24">IF(OR(F31="",F32=""),"",F31+F32)</f>
        <v>206100</v>
      </c>
      <c r="G33" s="102">
        <f t="shared" ref="G33" si="25">IF(OR(G31="",G32=""),"",G31+G32)</f>
        <v>165200</v>
      </c>
      <c r="H33" s="102">
        <f t="shared" ref="H33" si="26">IF(OR(H31="",H32=""),"",H31+H32)</f>
        <v>0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627000</v>
      </c>
      <c r="D34" s="149">
        <f>IF(Inputs!D41="","",Inputs!D41)</f>
        <v>634700</v>
      </c>
      <c r="E34" s="149">
        <f>IF(Inputs!E41="","",Inputs!E41)</f>
        <v>678800</v>
      </c>
      <c r="F34" s="149">
        <f>IF(Inputs!F41="","",Inputs!F41)</f>
        <v>731100</v>
      </c>
      <c r="G34" s="149">
        <f>IF(Inputs!G41="","",Inputs!G41)</f>
        <v>601500</v>
      </c>
      <c r="H34" s="149">
        <f>IF(Inputs!H41="","",Inputs!H41)</f>
        <v>607000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>
        <f>IF(Inputs!G42="","",Inputs!G42)</f>
        <v>0</v>
      </c>
      <c r="H35" s="149">
        <f>IF(Inputs!H42="","",Inputs!H42)</f>
        <v>0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1436300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0.13708835201559563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0.70410588619098657</v>
      </c>
      <c r="D40" s="156">
        <f t="shared" si="34"/>
        <v>0.7173127537136994</v>
      </c>
      <c r="E40" s="156">
        <f t="shared" si="34"/>
        <v>0.71773887365534694</v>
      </c>
      <c r="F40" s="156">
        <f t="shared" si="34"/>
        <v>0.69371496016524048</v>
      </c>
      <c r="G40" s="156">
        <f t="shared" si="34"/>
        <v>0.69355806972985456</v>
      </c>
      <c r="H40" s="156">
        <f t="shared" si="34"/>
        <v>0.70562930755354092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0.20412918860977769</v>
      </c>
      <c r="D41" s="151">
        <f t="shared" si="35"/>
        <v>0.20292635053753846</v>
      </c>
      <c r="E41" s="151">
        <f t="shared" si="35"/>
        <v>0.19607677705125501</v>
      </c>
      <c r="F41" s="151">
        <f t="shared" si="35"/>
        <v>0.19584369599123214</v>
      </c>
      <c r="G41" s="151">
        <f t="shared" si="35"/>
        <v>0.20771184483952898</v>
      </c>
      <c r="H41" s="151">
        <f t="shared" si="35"/>
        <v>0.20773393773995097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3.8726007171482807E-2</v>
      </c>
      <c r="F42" s="151">
        <f t="shared" si="36"/>
        <v>8.9364751506976342E-3</v>
      </c>
      <c r="G42" s="151">
        <f t="shared" si="36"/>
        <v>5.3105518356037868E-3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2.2836370415249105E-3</v>
      </c>
      <c r="D43" s="151">
        <f t="shared" si="37"/>
        <v>5.3530802515947716E-3</v>
      </c>
      <c r="E43" s="151">
        <f t="shared" si="37"/>
        <v>4.0497785277367644E-3</v>
      </c>
      <c r="F43" s="151">
        <f t="shared" si="37"/>
        <v>3.07718248113645E-3</v>
      </c>
      <c r="G43" s="151">
        <f t="shared" si="37"/>
        <v>3.417224659432002E-3</v>
      </c>
      <c r="H43" s="151">
        <f t="shared" si="37"/>
        <v>4.1630047643276746E-4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1.0719112643892435E-2</v>
      </c>
      <c r="D45" s="151">
        <f t="shared" si="39"/>
        <v>1.2758174599634206E-2</v>
      </c>
      <c r="E45" s="151">
        <f t="shared" si="39"/>
        <v>1.2107150390213033E-2</v>
      </c>
      <c r="F45" s="151">
        <f t="shared" si="39"/>
        <v>4.1731652826371059E-3</v>
      </c>
      <c r="G45" s="151">
        <f t="shared" si="39"/>
        <v>1.1082890787347033E-2</v>
      </c>
      <c r="H45" s="151">
        <f t="shared" si="39"/>
        <v>3.2378925944770805E-4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7.8762175513818339E-2</v>
      </c>
      <c r="D46" s="289">
        <f t="shared" si="40"/>
        <v>6.1649640897533123E-2</v>
      </c>
      <c r="E46" s="289">
        <f t="shared" si="40"/>
        <v>3.1301413203965407E-2</v>
      </c>
      <c r="F46" s="289">
        <f t="shared" si="40"/>
        <v>9.4254520929056188E-2</v>
      </c>
      <c r="G46" s="289">
        <f t="shared" si="40"/>
        <v>7.8919418148233667E-2</v>
      </c>
      <c r="H46" s="289">
        <f t="shared" si="40"/>
        <v>8.5896664970627687E-2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1.4939079579475041</v>
      </c>
      <c r="D48" s="159">
        <f t="shared" si="41"/>
        <v>1.700318567961165</v>
      </c>
      <c r="E48" s="159">
        <f t="shared" si="41"/>
        <v>1.813973063973064</v>
      </c>
      <c r="F48" s="159">
        <f t="shared" si="41"/>
        <v>1.8916354357706722</v>
      </c>
      <c r="G48" s="159">
        <f t="shared" si="41"/>
        <v>2.0754264903201074</v>
      </c>
      <c r="H48" s="159">
        <f t="shared" si="41"/>
        <v>1.9952930318412552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1.2281250000000001</v>
      </c>
      <c r="D51" s="151">
        <f t="shared" si="44"/>
        <v>0.26785714285714296</v>
      </c>
      <c r="E51" s="151">
        <f t="shared" si="44"/>
        <v>-51</v>
      </c>
      <c r="F51" s="151">
        <f t="shared" si="44"/>
        <v>0.1025145067698259</v>
      </c>
      <c r="G51" s="151">
        <f t="shared" si="44"/>
        <v>3.1944444444444446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0.43653832764742739</v>
      </c>
      <c r="D53" s="156">
        <f t="shared" si="45"/>
        <v>0.48141686893203883</v>
      </c>
      <c r="E53" s="156">
        <f t="shared" si="45"/>
        <v>0.51943679216406491</v>
      </c>
      <c r="F53" s="156">
        <f t="shared" si="45"/>
        <v>0.58296786540148315</v>
      </c>
      <c r="G53" s="156">
        <f t="shared" si="45"/>
        <v>0.57648073605520411</v>
      </c>
      <c r="H53" s="156">
        <f t="shared" si="45"/>
        <v>0.56022150438394092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>
        <f t="shared" si="46"/>
        <v>0.37645865043125315</v>
      </c>
      <c r="F54" s="160">
        <f t="shared" si="46"/>
        <v>1.0849102377486657</v>
      </c>
      <c r="G54" s="160">
        <f t="shared" si="46"/>
        <v>1.0345036319612591</v>
      </c>
      <c r="H54" s="160" t="str">
        <f t="shared" si="46"/>
        <v>-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2.8994082840236687E-2</v>
      </c>
      <c r="D55" s="151">
        <f t="shared" si="47"/>
        <v>8.6830680173661356E-2</v>
      </c>
      <c r="E55" s="151">
        <f t="shared" si="47"/>
        <v>0.1293800539083558</v>
      </c>
      <c r="F55" s="151">
        <f t="shared" si="47"/>
        <v>3.2647584973166367E-2</v>
      </c>
      <c r="G55" s="151">
        <f t="shared" si="47"/>
        <v>4.3300175541252192E-2</v>
      </c>
      <c r="H55" s="151">
        <f t="shared" si="47"/>
        <v>4.8465266558966073E-3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0.31403508771929822</v>
      </c>
      <c r="D58" s="162">
        <f t="shared" si="49"/>
        <v>0.2817078934929888</v>
      </c>
      <c r="E58" s="162">
        <f t="shared" si="49"/>
        <v>0.30097230406599884</v>
      </c>
      <c r="F58" s="162">
        <f t="shared" si="49"/>
        <v>0.35836410887703463</v>
      </c>
      <c r="G58" s="162">
        <f t="shared" si="49"/>
        <v>0.35544472152950957</v>
      </c>
      <c r="H58" s="162">
        <f t="shared" si="49"/>
        <v>0.30856672158154858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0.26953748006379585</v>
      </c>
      <c r="D59" s="162">
        <f t="shared" si="50"/>
        <v>0.21774066488104615</v>
      </c>
      <c r="E59" s="162">
        <f t="shared" si="50"/>
        <v>0.10931054802592811</v>
      </c>
      <c r="F59" s="162">
        <f t="shared" si="50"/>
        <v>0.30584051429353032</v>
      </c>
      <c r="G59" s="162">
        <f t="shared" si="50"/>
        <v>0.28412302576891107</v>
      </c>
      <c r="H59" s="162">
        <f t="shared" si="50"/>
        <v>0.30593080724876442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627000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627000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-809300</v>
      </c>
      <c r="E6" s="176">
        <f>1-D6/D3</f>
        <v>2.290749601275917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809300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809300</v>
      </c>
      <c r="J48" s="193"/>
    </row>
    <row r="49" spans="2:11" ht="15" customHeight="1" thickTop="1" x14ac:dyDescent="0.35">
      <c r="B49" s="9" t="s">
        <v>13</v>
      </c>
      <c r="C49" s="190">
        <f>Inputs!C41+Inputs!C37</f>
        <v>1436300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809300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-24.832838220659951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-24.832838220659951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-24.832838220659951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1436300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809300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627000</v>
      </c>
      <c r="D70" s="34">
        <f t="shared" si="2"/>
        <v>-1.290749601275917</v>
      </c>
      <c r="E70" s="208">
        <f>E68-E69</f>
        <v>-809300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45382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2145700</v>
      </c>
      <c r="D74" s="103"/>
      <c r="E74" s="262">
        <f>Inputs!E91</f>
        <v>2145700</v>
      </c>
      <c r="F74" s="103"/>
      <c r="H74" s="262">
        <f>Inputs!F91</f>
        <v>2145700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1510800</v>
      </c>
      <c r="D75" s="106">
        <f>C75/$C$74</f>
        <v>0.70410588619098657</v>
      </c>
      <c r="E75" s="262">
        <f>Inputs!E92</f>
        <v>1510800</v>
      </c>
      <c r="F75" s="217">
        <f>E75/E74</f>
        <v>0.70410588619098657</v>
      </c>
      <c r="H75" s="262">
        <f>Inputs!F92</f>
        <v>1510800</v>
      </c>
      <c r="I75" s="217">
        <f>H75/$H$74</f>
        <v>0.70410588619098657</v>
      </c>
      <c r="K75" s="75"/>
    </row>
    <row r="76" spans="1:11" ht="15" customHeight="1" x14ac:dyDescent="0.35">
      <c r="B76" s="12" t="s">
        <v>87</v>
      </c>
      <c r="C76" s="150">
        <f>C74-C75</f>
        <v>634900</v>
      </c>
      <c r="D76" s="218"/>
      <c r="E76" s="219">
        <f>E74-E75</f>
        <v>634900</v>
      </c>
      <c r="F76" s="218"/>
      <c r="H76" s="219">
        <f>H74-H75</f>
        <v>634900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438000</v>
      </c>
      <c r="D77" s="106">
        <f>C77/$C$74</f>
        <v>0.20412918860977769</v>
      </c>
      <c r="E77" s="262">
        <f>Inputs!E93</f>
        <v>438000</v>
      </c>
      <c r="F77" s="217">
        <f>E77/E74</f>
        <v>0.20412918860977769</v>
      </c>
      <c r="H77" s="262">
        <f>Inputs!F93</f>
        <v>438000</v>
      </c>
      <c r="I77" s="217">
        <f>H77/$H$74</f>
        <v>0.20412918860977769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196900</v>
      </c>
      <c r="D79" s="223">
        <f>C79/C74</f>
        <v>9.1764925199235681E-2</v>
      </c>
      <c r="E79" s="224">
        <f>E76-E77-E78</f>
        <v>196900</v>
      </c>
      <c r="F79" s="223">
        <f>E79/E74</f>
        <v>9.1764925199235681E-2</v>
      </c>
      <c r="G79" s="225"/>
      <c r="H79" s="224">
        <f>H76-H77-H78</f>
        <v>196900</v>
      </c>
      <c r="I79" s="223">
        <f>H79/H74</f>
        <v>9.1764925199235681E-2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4900</v>
      </c>
      <c r="D81" s="106">
        <f>C81/$C$74</f>
        <v>2.2836370415249105E-3</v>
      </c>
      <c r="E81" s="220">
        <f>E74*F81</f>
        <v>4900.0000000000009</v>
      </c>
      <c r="F81" s="217">
        <f>I81</f>
        <v>2.2836370415249105E-3</v>
      </c>
      <c r="H81" s="262">
        <f>Inputs!F94</f>
        <v>4900.0000000000009</v>
      </c>
      <c r="I81" s="217">
        <f>H81/$H$74</f>
        <v>2.2836370415249105E-3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23000</v>
      </c>
      <c r="D82" s="106">
        <f>C82/$C$74</f>
        <v>1.0719112643892435E-2</v>
      </c>
      <c r="E82" s="262">
        <f>Inputs!E95</f>
        <v>23000</v>
      </c>
      <c r="F82" s="217">
        <f>E82/E74</f>
        <v>1.0719112643892435E-2</v>
      </c>
      <c r="H82" s="262">
        <f>Inputs!F95</f>
        <v>23000</v>
      </c>
      <c r="I82" s="217">
        <f>H82/$H$74</f>
        <v>1.0719112643892435E-2</v>
      </c>
      <c r="K82" s="75"/>
    </row>
    <row r="83" spans="1:11" ht="15" customHeight="1" thickBot="1" x14ac:dyDescent="0.4">
      <c r="B83" s="227" t="s">
        <v>115</v>
      </c>
      <c r="C83" s="228">
        <f>C79-C81-C82-C80</f>
        <v>169000</v>
      </c>
      <c r="D83" s="229">
        <f>C83/$C$74</f>
        <v>7.8762175513818339E-2</v>
      </c>
      <c r="E83" s="230">
        <f>E79-E81-E82-E80</f>
        <v>169000</v>
      </c>
      <c r="F83" s="229">
        <f>E83/E74</f>
        <v>7.8762175513818339E-2</v>
      </c>
      <c r="H83" s="230">
        <f>H79-H81-H82-H80</f>
        <v>169000</v>
      </c>
      <c r="I83" s="229">
        <f>H83/$H$74</f>
        <v>7.8762175513818339E-2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</v>
      </c>
      <c r="E84" s="232"/>
      <c r="F84" s="233">
        <f t="shared" ref="F84" si="3">I84</f>
        <v>0.23</v>
      </c>
      <c r="H84" s="232"/>
      <c r="I84" s="263">
        <f>Inputs!C16</f>
        <v>0.23</v>
      </c>
      <c r="K84" s="75"/>
    </row>
    <row r="85" spans="1:11" ht="15" customHeight="1" x14ac:dyDescent="0.35">
      <c r="B85" s="234" t="s">
        <v>148</v>
      </c>
      <c r="C85" s="222">
        <f>C83*(1-I84)</f>
        <v>130130</v>
      </c>
      <c r="D85" s="223">
        <f>C85/$C$74</f>
        <v>6.0646875145640121E-2</v>
      </c>
      <c r="E85" s="235">
        <f>E83*(1-F84)</f>
        <v>130130</v>
      </c>
      <c r="F85" s="223">
        <f>E85/E74</f>
        <v>6.0646875145640121E-2</v>
      </c>
      <c r="G85" s="225"/>
      <c r="H85" s="235">
        <f>H83*(1-I84)</f>
        <v>130130</v>
      </c>
      <c r="I85" s="223">
        <f>H85/$H$74</f>
        <v>6.0646875145640121E-2</v>
      </c>
      <c r="K85" s="75"/>
    </row>
    <row r="86" spans="1:11" ht="15" customHeight="1" x14ac:dyDescent="0.35">
      <c r="B86" s="3" t="s">
        <v>145</v>
      </c>
      <c r="C86" s="236">
        <f>C85*Data!C4/Common_Shares</f>
        <v>0.51420731741314341</v>
      </c>
      <c r="D86" s="103"/>
      <c r="E86" s="237">
        <f>E85*Data!C4/Common_Shares</f>
        <v>0.51420731741314341</v>
      </c>
      <c r="F86" s="103"/>
      <c r="H86" s="237">
        <f>H85*Data!C4/Common_Shares</f>
        <v>0.51420731741314341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7.6640181632630075E-2</v>
      </c>
      <c r="D87" s="103"/>
      <c r="E87" s="239">
        <f>E86*Exchange_Rate/Dashboard!G3</f>
        <v>7.6640181632630075E-2</v>
      </c>
      <c r="F87" s="103"/>
      <c r="H87" s="239">
        <f>H86*Exchange_Rate/Dashboard!G3</f>
        <v>7.6640181632630075E-2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0.65</v>
      </c>
      <c r="D88" s="241">
        <f>C88/C86</f>
        <v>1.2640815834165835</v>
      </c>
      <c r="E88" s="261">
        <f>Inputs!E98</f>
        <v>0.65</v>
      </c>
      <c r="F88" s="241">
        <f>E88/E86</f>
        <v>1.2640815834165835</v>
      </c>
      <c r="H88" s="261">
        <f>Inputs!F98</f>
        <v>0.65</v>
      </c>
      <c r="I88" s="241">
        <f>H88/H86</f>
        <v>1.2640815834165835</v>
      </c>
      <c r="K88" s="75"/>
    </row>
    <row r="89" spans="1:11" ht="15" customHeight="1" x14ac:dyDescent="0.35">
      <c r="B89" s="3" t="s">
        <v>195</v>
      </c>
      <c r="C89" s="238">
        <f>C88*Exchange_Rate/Dashboard!G3</f>
        <v>9.6879442151509565E-2</v>
      </c>
      <c r="D89" s="103"/>
      <c r="E89" s="238">
        <f>E88*Exchange_Rate/Dashboard!G3</f>
        <v>9.6879442151509565E-2</v>
      </c>
      <c r="F89" s="103"/>
      <c r="H89" s="238">
        <f>H88*Exchange_Rate/Dashboard!G3</f>
        <v>9.6879442151509565E-2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184</v>
      </c>
      <c r="F93" s="243">
        <f>FV(E87,D93,0,-(E86/(C93-D94)))*Exchange_Rate</f>
        <v>82.196674956265326</v>
      </c>
      <c r="H93" s="3" t="s">
        <v>184</v>
      </c>
      <c r="I93" s="243">
        <f>FV(H87,D93,0,-(H86/(C93-D94)))*Exchange_Rate</f>
        <v>82.196674956265326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109.87383720470287</v>
      </c>
      <c r="H94" s="3" t="s">
        <v>185</v>
      </c>
      <c r="I94" s="243">
        <f>FV(H89,D93,0,-(H88/(C93-D94)))*Exchange_Rate</f>
        <v>109.87383720470287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13677285.290812781</v>
      </c>
      <c r="D97" s="250"/>
      <c r="E97" s="251">
        <f>PV(C94,D93,0,-F93)</f>
        <v>54.045648035680351</v>
      </c>
      <c r="F97" s="250"/>
      <c r="H97" s="251">
        <f>PV(C94,D93,0,-I93)</f>
        <v>54.045648035680351</v>
      </c>
      <c r="I97" s="251">
        <f>PV(C93,D93,0,-I93)</f>
        <v>65.137219778341148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-6284424.8384316768</v>
      </c>
      <c r="D99" s="254"/>
      <c r="E99" s="255">
        <f>IF(H99&gt;0,I64,H99)</f>
        <v>-24.832838220659951</v>
      </c>
      <c r="F99" s="254"/>
      <c r="H99" s="255">
        <f>I64</f>
        <v>-24.832838220659951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24.830888342767338</v>
      </c>
      <c r="E100" s="257">
        <f>MAX(E97+H98+E99,0)</f>
        <v>29.2128098150204</v>
      </c>
      <c r="F100" s="257">
        <f>(E100+H100)/2</f>
        <v>29.2128098150204</v>
      </c>
      <c r="H100" s="257">
        <f>MAX(H97+H98+H99,0)</f>
        <v>29.2128098150204</v>
      </c>
      <c r="I100" s="257">
        <f>MAX(I97+H98+H99,0)</f>
        <v>40.304381557681197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61.407256759429586</v>
      </c>
      <c r="E103" s="251">
        <f>PV(C94,D93,0,-F94)</f>
        <v>72.243831481681866</v>
      </c>
      <c r="F103" s="257">
        <f>(E103+H103)/2</f>
        <v>72.243831481681866</v>
      </c>
      <c r="H103" s="251">
        <f>PV(C94,D93,0,-I94)</f>
        <v>72.243831481681866</v>
      </c>
      <c r="I103" s="257">
        <f>PV(C93,D93,0,-I94)</f>
        <v>87.070143478436208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43.119072551098462</v>
      </c>
      <c r="E106" s="251">
        <f>(E100+E103)/2</f>
        <v>50.728320648351129</v>
      </c>
      <c r="F106" s="257">
        <f>(F100+F103)/2</f>
        <v>50.728320648351129</v>
      </c>
      <c r="H106" s="251">
        <f>(H100+H103)/2</f>
        <v>50.728320648351129</v>
      </c>
      <c r="I106" s="251">
        <f>(I100+I103)/2</f>
        <v>63.687262518058702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