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F14673-E0FA-477A-9414-7C84D4727E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<sst xmlns="http://schemas.openxmlformats.org/spreadsheetml/2006/main" count="403" uniqueCount="288">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</sst>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1407129000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3816679</v>
      </c>
      <c r="D25" s="80">
        <v>3937011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3135568</v>
      </c>
      <c r="D26" s="82">
        <v>3349048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420868</v>
      </c>
      <c r="D27" s="82">
        <v>424202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7599</v>
      </c>
      <c r="D29" s="82">
        <v>5443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0.06+0.04</f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4.1077336442670004E-2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3816679</v>
      </c>
      <c r="D91" s="103"/>
      <c r="E91" s="104">
        <f>C91</f>
        <v>3816679</v>
      </c>
      <c r="F91" s="104">
        <f>C91</f>
        <v>3816679</v>
      </c>
    </row>
    <row r="92" spans="2:8" x14ac:dyDescent="0.35">
      <c r="B92" s="105" t="s">
        <v>97</v>
      </c>
      <c r="C92" s="102">
        <f>C26</f>
        <v>3135568</v>
      </c>
      <c r="D92" s="106">
        <f>C92/C91</f>
        <v>0.82154354610382485</v>
      </c>
      <c r="E92" s="107">
        <f>E91*D92</f>
        <v>3135568</v>
      </c>
      <c r="F92" s="107">
        <f>F91*D92</f>
        <v>3135568</v>
      </c>
    </row>
    <row r="93" spans="2:8" x14ac:dyDescent="0.35">
      <c r="B93" s="105" t="s">
        <v>218</v>
      </c>
      <c r="C93" s="102">
        <f>C27+C28</f>
        <v>420868</v>
      </c>
      <c r="D93" s="106">
        <f>C93/C91</f>
        <v>0.1102707353696761</v>
      </c>
      <c r="E93" s="107">
        <f>E91*D93</f>
        <v>420868</v>
      </c>
      <c r="F93" s="107">
        <f>F91*D93</f>
        <v>420868</v>
      </c>
    </row>
    <row r="94" spans="2:8" x14ac:dyDescent="0.35">
      <c r="B94" s="105" t="s">
        <v>224</v>
      </c>
      <c r="C94" s="102">
        <f>C29</f>
        <v>7599</v>
      </c>
      <c r="D94" s="106">
        <f>C94/C91</f>
        <v>1.9909979330197799E-3</v>
      </c>
      <c r="E94" s="108"/>
      <c r="F94" s="107">
        <f>F91*D94</f>
        <v>7599.0000000000009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0.06</v>
      </c>
      <c r="F98" s="111"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0468.HK : 紛美包裝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0468.HK</v>
      </c>
      <c r="D3" s="316"/>
      <c r="E3" s="3"/>
      <c r="F3" s="9" t="s">
        <v>1</v>
      </c>
      <c r="G3" s="10">
        <v>2.59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紛美包裝</v>
      </c>
      <c r="D4" s="318"/>
      <c r="E4" s="3"/>
      <c r="F4" s="9" t="s">
        <v>2</v>
      </c>
      <c r="G4" s="321">
        <f>Inputs!C10</f>
        <v>1407129000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3644.4641099999999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6.8185718526499087E-2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1.9909979330197799E-3</v>
      </c>
      <c r="F24" s="39" t="s">
        <v>226</v>
      </c>
      <c r="G24" s="43">
        <f>G3/(Fin_Analysis!H86*G7)</f>
        <v>18.07845807635605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0.44556894286030935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2.4646401865602002E-2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1.4204421677524872</v>
      </c>
      <c r="D29" s="54">
        <f>G29*(1+G20)</f>
        <v>2.2803768515823557</v>
      </c>
      <c r="E29" s="3"/>
      <c r="F29" s="55">
        <f>IF(Fin_Analysis!C108="Profit",Fin_Analysis!F100,IF(Fin_Analysis!C108="Dividend",Fin_Analysis!F103,Fin_Analysis!F106))</f>
        <v>1.671108432649985</v>
      </c>
      <c r="G29" s="312">
        <f>IF(Fin_Analysis!C108="Profit",Fin_Analysis!I100,IF(Fin_Analysis!C108="Dividend",Fin_Analysis!I103,Fin_Analysis!I106))</f>
        <v>1.9829363926803096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260243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3816679</v>
      </c>
      <c r="D6" s="147">
        <f>IF(Inputs!D25="","",Inputs!D25)</f>
        <v>3937011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-3.0564303731942855E-2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3135568</v>
      </c>
      <c r="D8" s="149">
        <f>IF(Inputs!D26="","",Inputs!D26)</f>
        <v>3349048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681111</v>
      </c>
      <c r="D9" s="279">
        <f t="shared" si="2"/>
        <v>587963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420868</v>
      </c>
      <c r="D10" s="149">
        <f>IF(Inputs!D27="","",Inputs!D27)</f>
        <v>424202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6.8185718526499087E-2</v>
      </c>
      <c r="D13" s="300">
        <f t="shared" si="3"/>
        <v>4.1595260973362788E-2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260243</v>
      </c>
      <c r="D14" s="302">
        <f t="shared" ref="D14:M14" si="4">IF(D6="","",D9-D10-MAX(D11,0)-MAX(D12,0))</f>
        <v>163761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0.58916347604130415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7599</v>
      </c>
      <c r="D17" s="149">
        <f>IF(Inputs!D29="","",Inputs!D29)</f>
        <v>5443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252644</v>
      </c>
      <c r="D22" s="283">
        <f t="shared" ref="D22:M22" si="8">IF(D6="","",D14-MAX(D16,0)-MAX(D17,0)-ABS(MAX(D21,0)-MAX(D19,0)))</f>
        <v>158318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4.9646040445109479E-2</v>
      </c>
      <c r="D23" s="148">
        <f t="shared" si="9"/>
        <v>3.0159555053313289E-2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189483</v>
      </c>
      <c r="D24" s="282">
        <f>IF(D6="","",D22*(1-Fin_Analysis!$I$84))</f>
        <v>118738.5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0.59580085650399828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0.82154354610382485</v>
      </c>
      <c r="D40" s="156">
        <f t="shared" si="34"/>
        <v>0.85065751657793187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0.1102707353696761</v>
      </c>
      <c r="D41" s="151">
        <f t="shared" si="35"/>
        <v>0.10774722244870538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1.9909979330197799E-3</v>
      </c>
      <c r="D43" s="151">
        <f t="shared" si="37"/>
        <v>1.3825209022784036E-3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6.6194720593479306E-2</v>
      </c>
      <c r="D46" s="289">
        <f t="shared" si="40"/>
        <v>4.0212740071084385E-2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3.0077896170104972E-2</v>
      </c>
      <c r="D55" s="151">
        <f t="shared" si="47"/>
        <v>3.4380171553455706E-2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3816679</v>
      </c>
      <c r="D74" s="103"/>
      <c r="E74" s="262">
        <f>Inputs!E91</f>
        <v>3816679</v>
      </c>
      <c r="F74" s="103"/>
      <c r="H74" s="262">
        <f>Inputs!F91</f>
        <v>3816679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3135568</v>
      </c>
      <c r="D75" s="106">
        <f>C75/$C$74</f>
        <v>0.82154354610382485</v>
      </c>
      <c r="E75" s="262">
        <f>Inputs!E92</f>
        <v>3135568</v>
      </c>
      <c r="F75" s="217">
        <f>E75/E74</f>
        <v>0.82154354610382485</v>
      </c>
      <c r="H75" s="262">
        <f>Inputs!F92</f>
        <v>3135568</v>
      </c>
      <c r="I75" s="217">
        <f>H75/$H$74</f>
        <v>0.82154354610382485</v>
      </c>
      <c r="K75" s="75"/>
    </row>
    <row r="76" spans="1:11" ht="15" customHeight="1" x14ac:dyDescent="0.35">
      <c r="B76" s="12" t="s">
        <v>87</v>
      </c>
      <c r="C76" s="150">
        <f>C74-C75</f>
        <v>681111</v>
      </c>
      <c r="D76" s="218"/>
      <c r="E76" s="219">
        <f>E74-E75</f>
        <v>681111</v>
      </c>
      <c r="F76" s="218"/>
      <c r="H76" s="219">
        <f>H74-H75</f>
        <v>681111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420868</v>
      </c>
      <c r="D77" s="106">
        <f>C77/$C$74</f>
        <v>0.1102707353696761</v>
      </c>
      <c r="E77" s="262">
        <f>Inputs!E93</f>
        <v>420868</v>
      </c>
      <c r="F77" s="217">
        <f>E77/E74</f>
        <v>0.1102707353696761</v>
      </c>
      <c r="H77" s="262">
        <f>Inputs!F93</f>
        <v>420868</v>
      </c>
      <c r="I77" s="217">
        <f>H77/$H$74</f>
        <v>0.1102707353696761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260243</v>
      </c>
      <c r="D79" s="223">
        <f>C79/C74</f>
        <v>6.8185718526499087E-2</v>
      </c>
      <c r="E79" s="224">
        <f>E76-E77-E78</f>
        <v>260243</v>
      </c>
      <c r="F79" s="223">
        <f>E79/E74</f>
        <v>6.8185718526499087E-2</v>
      </c>
      <c r="G79" s="225"/>
      <c r="H79" s="224">
        <f>H76-H77-H78</f>
        <v>260243</v>
      </c>
      <c r="I79" s="223">
        <f>H79/H74</f>
        <v>6.8185718526499087E-2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7599</v>
      </c>
      <c r="D81" s="106">
        <f>C81/$C$74</f>
        <v>1.9909979330197799E-3</v>
      </c>
      <c r="E81" s="220">
        <f>E74*F81</f>
        <v>7599.0000000000009</v>
      </c>
      <c r="F81" s="217">
        <f>I81</f>
        <v>1.9909979330197799E-3</v>
      </c>
      <c r="H81" s="262">
        <f>Inputs!F94</f>
        <v>7599.0000000000009</v>
      </c>
      <c r="I81" s="217">
        <f>H81/$H$74</f>
        <v>1.9909979330197799E-3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252644</v>
      </c>
      <c r="D83" s="229">
        <f>C83/$C$74</f>
        <v>6.6194720593479306E-2</v>
      </c>
      <c r="E83" s="230">
        <f>E79-E81-E82-E80</f>
        <v>252644</v>
      </c>
      <c r="F83" s="229">
        <f>E83/E74</f>
        <v>6.6194720593479306E-2</v>
      </c>
      <c r="H83" s="230">
        <f>H79-H81-H82-H80</f>
        <v>252644</v>
      </c>
      <c r="I83" s="229">
        <f>H83/$H$74</f>
        <v>6.6194720593479306E-2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189483</v>
      </c>
      <c r="D85" s="223">
        <f>C85/$C$74</f>
        <v>4.9646040445109479E-2</v>
      </c>
      <c r="E85" s="235">
        <f>E83*(1-F84)</f>
        <v>189483</v>
      </c>
      <c r="F85" s="223">
        <f>E85/E74</f>
        <v>4.9646040445109479E-2</v>
      </c>
      <c r="G85" s="225"/>
      <c r="H85" s="235">
        <f>H83*(1-I84)</f>
        <v>189483</v>
      </c>
      <c r="I85" s="223">
        <f>H85/$H$74</f>
        <v>4.9646040445109479E-2</v>
      </c>
      <c r="K85" s="75"/>
    </row>
    <row r="86" spans="1:11" ht="15" customHeight="1" x14ac:dyDescent="0.35">
      <c r="B86" s="3" t="s">
        <v>145</v>
      </c>
      <c r="C86" s="236">
        <f>C85*Data!C4/Common_Shares</f>
        <v>0.13465929562961179</v>
      </c>
      <c r="D86" s="103"/>
      <c r="E86" s="237">
        <f>E85*Data!C4/Common_Shares</f>
        <v>0.13465929562961179</v>
      </c>
      <c r="F86" s="103"/>
      <c r="H86" s="237">
        <f>H85*Data!C4/Common_Shares</f>
        <v>0.13465929562961179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5.5314451917105267E-2</v>
      </c>
      <c r="D87" s="103"/>
      <c r="E87" s="239">
        <f>E86*Exchange_Rate/Dashboard!G3</f>
        <v>5.5314451917105267E-2</v>
      </c>
      <c r="F87" s="103"/>
      <c r="H87" s="239">
        <f>H86*Exchange_Rate/Dashboard!G3</f>
        <v>5.5314451917105267E-2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0.74261490476718228</v>
      </c>
      <c r="E88" s="261">
        <f>Inputs!E98</f>
        <v>0.06</v>
      </c>
      <c r="F88" s="241">
        <f>E88/E86</f>
        <v>0.44556894286030935</v>
      </c>
      <c r="H88" s="261">
        <f>Inputs!F98</f>
        <v>0.06</v>
      </c>
      <c r="I88" s="241">
        <f>H88/H86</f>
        <v>0.44556894286030935</v>
      </c>
      <c r="K88" s="75"/>
    </row>
    <row r="89" spans="1:11" ht="15" customHeight="1" x14ac:dyDescent="0.35">
      <c r="B89" s="3" t="s">
        <v>195</v>
      </c>
      <c r="C89" s="238">
        <f>C88*Exchange_Rate/Dashboard!G3</f>
        <v>4.1077336442670004E-2</v>
      </c>
      <c r="D89" s="103"/>
      <c r="E89" s="238">
        <f>E88*Exchange_Rate/Dashboard!G3</f>
        <v>2.4646401865602002E-2</v>
      </c>
      <c r="F89" s="103"/>
      <c r="H89" s="238">
        <f>H88*Exchange_Rate/Dashboard!G3</f>
        <v>2.4646401865602002E-2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2.541547037506545</v>
      </c>
      <c r="H93" s="3" t="s">
        <v>184</v>
      </c>
      <c r="I93" s="243">
        <f>FV(H87,D93,0,-(H86/(C93-D94)))*Exchange_Rate</f>
        <v>2.541547037506545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1.0365481120211932</v>
      </c>
      <c r="H94" s="3" t="s">
        <v>185</v>
      </c>
      <c r="I94" s="243">
        <f>FV(H89,D93,0,-(H88/(C93-D94)))*Exchange_Rate</f>
        <v>1.0365481120211932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2351465.1377263409</v>
      </c>
      <c r="D97" s="250"/>
      <c r="E97" s="251">
        <f>PV(C94,D93,0,-F93)</f>
        <v>1.671108432649985</v>
      </c>
      <c r="F97" s="250"/>
      <c r="H97" s="251">
        <f>PV(C94,D93,0,-I93)</f>
        <v>1.671108432649985</v>
      </c>
      <c r="I97" s="251">
        <f>PV(C93,D93,0,-I93)</f>
        <v>1.9829363926803096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1.4204421677524872</v>
      </c>
      <c r="E100" s="257">
        <f>MAX(E97+H98+E99,0)</f>
        <v>1.671108432649985</v>
      </c>
      <c r="F100" s="257">
        <f>(E100+H100)/2</f>
        <v>1.671108432649985</v>
      </c>
      <c r="H100" s="257">
        <f>MAX(H97+H98+H99,0)</f>
        <v>1.671108432649985</v>
      </c>
      <c r="I100" s="257">
        <f>MAX(I97+H98+H99,0)</f>
        <v>1.9829363926803096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0.57931512794806572</v>
      </c>
      <c r="E103" s="251">
        <f>PV(C94,D93,0,-F94)</f>
        <v>0.68154720935066559</v>
      </c>
      <c r="F103" s="257">
        <f>(E103+H103)/2</f>
        <v>0.68154720935066559</v>
      </c>
      <c r="H103" s="251">
        <f>PV(C94,D93,0,-I94)</f>
        <v>0.68154720935066559</v>
      </c>
      <c r="I103" s="257">
        <f>PV(C93,D93,0,-I94)</f>
        <v>0.80872356236515153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0.99987864785027647</v>
      </c>
      <c r="E106" s="251">
        <f>(E100+E103)/2</f>
        <v>1.1763278210003252</v>
      </c>
      <c r="F106" s="257">
        <f>(F100+F103)/2</f>
        <v>1.1763278210003252</v>
      </c>
      <c r="H106" s="251">
        <f>(H100+H103)/2</f>
        <v>1.1763278210003252</v>
      </c>
      <c r="I106" s="251">
        <f>(I100+I103)/2</f>
        <v>1.3958299775227305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