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21B5E23-1CF5-4CE0-BAB3-D8383FACAE5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H44" i="4"/>
  <c r="G44" i="4"/>
  <c r="F44" i="4"/>
  <c r="E44" i="4"/>
  <c r="D44" i="4"/>
  <c r="C44" i="4"/>
  <c r="D39" i="4"/>
  <c r="F38" i="4"/>
  <c r="E38" i="4"/>
  <c r="D38" i="4"/>
  <c r="C38" i="4"/>
  <c r="D93" i="3"/>
  <c r="F96" i="4" l="1"/>
  <c r="F97" i="4"/>
  <c r="D56" i="4"/>
  <c r="B11" i="5"/>
  <c r="B47" i="4" l="1"/>
  <c r="C49" i="3"/>
  <c r="D4" i="3"/>
  <c r="D3" i="3"/>
  <c r="I3" i="3" s="1"/>
  <c r="I49" i="3"/>
  <c r="C34" i="2"/>
  <c r="C30" i="2"/>
  <c r="E34" i="2"/>
  <c r="F34" i="2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F36" i="2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F27" i="2"/>
  <c r="F37" i="2" s="1"/>
  <c r="F38" i="2" s="1"/>
  <c r="E27" i="2"/>
  <c r="E56" i="2" s="1"/>
  <c r="G56" i="2"/>
  <c r="F56" i="2"/>
  <c r="M56" i="2"/>
  <c r="L56" i="2"/>
  <c r="D56" i="2"/>
  <c r="K56" i="2"/>
  <c r="I56" i="2"/>
  <c r="H56" i="2"/>
  <c r="K33" i="2"/>
  <c r="C27" i="2"/>
  <c r="C56" i="2" s="1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37" i="2" l="1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<sst xmlns="http://schemas.openxmlformats.org/spreadsheetml/2006/main" count="403" uniqueCount="288">
  <si>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</si>
  <si>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</si>
  <si>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</si>
  <si>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</si>
  <si>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</si>
  <si>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</si>
  <si>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</si>
  <si>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</si>
  <si>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</si>
  <si>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</si>
  <si>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</si>
  <si>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</si>
  <si>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</si>
  <si>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</si>
  <si>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</si>
  <si>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</si>
  <si>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</si>
  <si>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</si>
  <si>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</si>
  <si>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</si>
  <si>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</si>
  <si>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</si>
  <si>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</si>
  <si>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</si>
  <si>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</si>
  <si>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</si>
  <si>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</si>
  <si>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</si>
  <si>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</si>
  <si>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</si>
  <si>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</si>
  <si>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</si>
  <si>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</si>
  <si>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</si>
  <si>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</si>
  <si>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</si>
  <si>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</si>
  <si>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</si>
  <si>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</si>
  <si>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</si>
  <si>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</si>
  <si>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</si>
  <si>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</si>
  <si>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</si>
  <si>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</si>
  <si>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</si>
  <si>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</si>
  <si>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</si>
  <si>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</si>
  <si>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</si>
  <si>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</si>
  <si>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</si>
  <si>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</si>
  <si>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</si>
  <si>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</si>
  <si>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</si>
  <si>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</si>
  <si>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</si>
  <si>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</si>
  <si>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</si>
  <si>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</si>
  <si>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</si>
  <si>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</si>
  <si>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</si>
  <si>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</si>
  <si>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</si>
  <si>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</si>
  <si>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</si>
  <si>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</si>
  <si>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</si>
  <si>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</si>
  <si>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</si>
  <si>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</si>
  <si>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</si>
  <si>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</si>
  <si>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</si>
  <si>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</si>
  <si>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</si>
  <si>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</si>
  <si>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</si>
  <si>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</si>
  <si>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</si>
  <si>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</si>
  <si>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</si>
  <si>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</si>
  <si>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</si>
  <si>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</si>
  <si>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</si>
  <si>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</si>
  <si>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</si>
  <si>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</si>
  <si>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</si>
  <si>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</si>
  <si>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</si>
  <si>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</si>
  <si>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</si>
  <si>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</si>
  <si>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</si>
  <si>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</si>
  <si>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</si>
  <si>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</si>
  <si>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</si>
  <si>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</si>
  <si>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</si>
  <si>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</si>
  <si>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</si>
  <si>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</si>
  <si>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</si>
  <si>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</si>
  <si>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</si>
  <si>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</si>
  <si>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</si>
  <si>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</si>
  <si>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</si>
  <si>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</si>
  <si>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</si>
  <si>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</si>
  <si>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</si>
  <si>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</si>
  <si>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</si>
  <si>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</si>
  <si>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</si>
  <si>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</si>
  <si>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</si>
  <si>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</si>
  <si>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</si>
  <si>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</si>
  <si>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</si>
  <si>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</si>
  <si>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</si>
  <si>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</si>
  <si>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</si>
  <si>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</si>
  <si>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</si>
  <si>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</si>
  <si>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</si>
  <si>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</si>
  <si>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</si>
  <si>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</si>
  <si>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</si>
  <si>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</si>
  <si>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</si>
  <si>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</si>
  <si>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</si>
  <si>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</si>
  <si>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</si>
  <si>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</si>
  <si>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</si>
  <si>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</si>
  <si>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</si>
  <si>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</si>
  <si>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</si>
  <si>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</si>
  <si>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</si>
  <si>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</si>
  <si>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</si>
  <si>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</si>
  <si>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</si>
  <si>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</si>
  <si>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</si>
  <si>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</si>
  <si>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</si>
  <si>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</si>
  <si>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</si>
  <si>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</si>
  <si>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</si>
  <si>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</si>
  <si>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</si>
  <si>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</si>
  <si>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</si>
  <si>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</si>
  <si>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</si>
  <si>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</si>
  <si>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</si>
  <si>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</si>
  <si>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</si>
  <si>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</si>
  <si>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</si>
  <si>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</si>
  <si>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</si>
  <si>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</si>
  <si>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</si>
  <si>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</si>
  <si>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</si>
  <si>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</si>
  <si>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</si>
  <si>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</si>
  <si>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</si>
  <si>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</si>
  <si>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</si>
  <si>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</si>
  <si>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</si>
  <si>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</si>
  <si>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</si>
  <si>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</si>
  <si>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</si>
  <si>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</si>
  <si>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</si>
  <si>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</si>
  <si>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</si>
  <si>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</si>
  <si>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</si>
  <si>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</si>
  <si>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</si>
  <si>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</si>
  <si>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</si>
  <si>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</si>
  <si>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</si>
  <si>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</si>
  <si>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</si>
  <si>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</si>
  <si>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</si>
  <si>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</si>
  <si>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</si>
  <si>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</si>
  <si>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</si>
  <si>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</si>
  <si>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</si>
  <si>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</si>
  <si>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</si>
  <si>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</si>
  <si>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</si>
  <si>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</si>
  <si>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</si>
  <si>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</si>
  <si>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</si>
  <si>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</si>
  <si>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</si>
  <si>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</si>
  <si>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</si>
  <si>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</si>
  <si>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</si>
  <si>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</si>
  <si>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</si>
  <si>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</si>
  <si>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</si>
  <si>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</si>
  <si>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</si>
  <si>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</si>
  <si>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</si>
  <si>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</si>
  <si>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</si>
  <si>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</si>
  <si>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</si>
  <si>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</si>
  <si>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</si>
  <si>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</si>
  <si>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</si>
  <si>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</si>
  <si>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</si>
  <si>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</si>
  <si>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</si>
  <si>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</si>
  <si>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</si>
  <si>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</si>
  <si>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</si>
  <si>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</si>
  <si>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</si>
  <si>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</si>
  <si>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</si>
  <si>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</si>
  <si>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</si>
  <si>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</si>
  <si>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</si>
  <si>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</si>
  <si>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</si>
  <si>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</si>
  <si>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</si>
  <si>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</si>
  <si>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</si>
  <si>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</si>
  <si>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</si>
  <si>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</si>
  <si>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</si>
  <si>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</si>
  <si>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</si>
  <si>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</si>
  <si>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</si>
  <si>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</si>
  <si>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Profit</t>
  </si>
  <si>
    <t>Reinvest Nonop @</t>
    <phoneticPr fontId="3" type="noConversion"/>
  </si>
  <si>
    <t>PlaceHolder_5</t>
    <phoneticPr fontId="3" type="noConversion"/>
  </si>
  <si>
    <t>0590.HK</t>
  </si>
  <si>
    <t>六福珠宝</t>
  </si>
  <si>
    <t xml:space="preserve">Superior Cycl. 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</si>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</sst>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282</v>
      </c>
    </row>
    <row r="5" spans="1:5" x14ac:dyDescent="0.35">
      <c r="B5" s="46" t="s">
        <v>171</v>
      </c>
      <c r="C5" s="67" t="s">
        <v>283</v>
      </c>
    </row>
    <row r="6" spans="1:5" x14ac:dyDescent="0.35">
      <c r="B6" s="46" t="s">
        <v>272</v>
      </c>
      <c r="C6" s="68">
        <v>45643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284</v>
      </c>
    </row>
    <row r="9" spans="1:5" x14ac:dyDescent="0.35">
      <c r="B9" s="39" t="s">
        <v>192</v>
      </c>
      <c r="C9" s="124" t="s">
        <v>278</v>
      </c>
    </row>
    <row r="10" spans="1:5" x14ac:dyDescent="0.35">
      <c r="B10" s="39" t="s">
        <v>193</v>
      </c>
      <c r="C10" s="70">
        <v>587107850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45382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45382</v>
      </c>
    </row>
    <row r="15" spans="1:5" x14ac:dyDescent="0.35">
      <c r="B15" s="71" t="s">
        <v>224</v>
      </c>
      <c r="C15" s="122" t="s">
        <v>167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285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286</v>
      </c>
      <c r="D19" s="75"/>
    </row>
    <row r="20" spans="2:13" x14ac:dyDescent="0.35">
      <c r="B20" s="57" t="s">
        <v>202</v>
      </c>
      <c r="C20" s="126" t="s">
        <v>286</v>
      </c>
      <c r="D20" s="75"/>
    </row>
    <row r="21" spans="2:13" x14ac:dyDescent="0.35">
      <c r="B21" s="2" t="s">
        <v>205</v>
      </c>
      <c r="C21" s="126" t="s">
        <v>285</v>
      </c>
      <c r="D21" s="75"/>
    </row>
    <row r="22" spans="2:13" ht="69.75" x14ac:dyDescent="0.35">
      <c r="B22" s="59" t="s">
        <v>204</v>
      </c>
      <c r="C22" s="127" t="s">
        <v>287</v>
      </c>
      <c r="D22" s="75"/>
    </row>
    <row r="24" spans="2:13" x14ac:dyDescent="0.35">
      <c r="B24" s="76" t="s">
        <v>124</v>
      </c>
      <c r="C24" s="294">
        <f>C12</f>
        <v>45382</v>
      </c>
      <c r="D24" s="295">
        <f>EOMONTH(EDATE(C24,-12),0)</f>
        <v>45016</v>
      </c>
      <c r="E24" s="295">
        <f t="shared" ref="E24:M24" si="0">EOMONTH(EDATE(D24,-12),0)</f>
        <v>44651</v>
      </c>
      <c r="F24" s="295">
        <f t="shared" si="0"/>
        <v>44286</v>
      </c>
      <c r="G24" s="295">
        <f t="shared" si="0"/>
        <v>43921</v>
      </c>
      <c r="H24" s="295">
        <f t="shared" si="0"/>
        <v>43555</v>
      </c>
      <c r="I24" s="295">
        <f t="shared" si="0"/>
        <v>43190</v>
      </c>
      <c r="J24" s="295">
        <f t="shared" si="0"/>
        <v>42825</v>
      </c>
      <c r="K24" s="295">
        <f t="shared" si="0"/>
        <v>42460</v>
      </c>
      <c r="L24" s="295">
        <f t="shared" si="0"/>
        <v>42094</v>
      </c>
      <c r="M24" s="295">
        <f t="shared" si="0"/>
        <v>41729</v>
      </c>
    </row>
    <row r="25" spans="2:13" x14ac:dyDescent="0.35">
      <c r="B25" s="79" t="s">
        <v>12</v>
      </c>
      <c r="C25" s="80">
        <v>15325962</v>
      </c>
      <c r="D25" s="80">
        <v>11977844</v>
      </c>
      <c r="E25" s="80">
        <v>11737803</v>
      </c>
      <c r="F25" s="80">
        <v>8861335</v>
      </c>
      <c r="G25" s="80">
        <v>11233771</v>
      </c>
      <c r="H25" s="80">
        <v>15859990</v>
      </c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11151623</v>
      </c>
      <c r="D26" s="82">
        <v>8747447</v>
      </c>
      <c r="E26" s="82">
        <v>8503976</v>
      </c>
      <c r="F26" s="82">
        <v>6229020</v>
      </c>
      <c r="G26" s="82">
        <v>7910751</v>
      </c>
      <c r="H26" s="82">
        <v>11826154</v>
      </c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v>2297566</v>
      </c>
      <c r="D27" s="82">
        <v>1867515</v>
      </c>
      <c r="E27" s="82">
        <v>1815111</v>
      </c>
      <c r="F27" s="82">
        <v>1694480</v>
      </c>
      <c r="G27" s="82">
        <v>2118252</v>
      </c>
      <c r="H27" s="82">
        <v>2416769</v>
      </c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59596</v>
      </c>
      <c r="D29" s="82">
        <v>20763</v>
      </c>
      <c r="E29" s="82">
        <v>23097</v>
      </c>
      <c r="F29" s="82">
        <v>28849</v>
      </c>
      <c r="G29" s="82">
        <v>63075</v>
      </c>
      <c r="H29" s="82">
        <v>34253</v>
      </c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-9467</v>
      </c>
      <c r="D30" s="82">
        <v>-30</v>
      </c>
      <c r="E30" s="82">
        <v>-27</v>
      </c>
      <c r="F30" s="82">
        <v>1799</v>
      </c>
      <c r="G30" s="82">
        <v>1337</v>
      </c>
      <c r="H30" s="82">
        <v>10908</v>
      </c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>
        <v>626583</v>
      </c>
      <c r="D31" s="82">
        <v>352099</v>
      </c>
      <c r="E31" s="82">
        <v>1045251</v>
      </c>
      <c r="F31" s="82">
        <v>-818677</v>
      </c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>
        <v>456554</v>
      </c>
      <c r="D32" s="82">
        <v>373191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>
        <v>676387</v>
      </c>
      <c r="D33" s="82">
        <v>107280</v>
      </c>
      <c r="E33" s="82">
        <v>455483</v>
      </c>
      <c r="F33" s="82">
        <v>138937</v>
      </c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>
        <v>11972903</v>
      </c>
      <c r="E34" s="82">
        <v>13002006</v>
      </c>
      <c r="F34" s="82">
        <v>11732726</v>
      </c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>
        <v>213823</v>
      </c>
      <c r="E35" s="82">
        <v>187711</v>
      </c>
      <c r="F35" s="82">
        <v>277338</v>
      </c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>
        <v>8852611</v>
      </c>
      <c r="E36" s="82">
        <v>8769304</v>
      </c>
      <c r="F36" s="82">
        <v>7321614</v>
      </c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>
        <v>3990166</v>
      </c>
      <c r="D37" s="82">
        <v>2466431</v>
      </c>
      <c r="E37" s="82">
        <v>3908586</v>
      </c>
      <c r="F37" s="82">
        <v>2946772</v>
      </c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>
        <f>20356+1075000</f>
        <v>1095356</v>
      </c>
      <c r="D38" s="82">
        <f>24308+1075000</f>
        <v>1099308</v>
      </c>
      <c r="E38" s="82">
        <f>32736+1075000</f>
        <v>1107736</v>
      </c>
      <c r="F38" s="82">
        <f>47325+1075000</f>
        <v>1122325</v>
      </c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>
        <f>35175+1000000</f>
        <v>1035175</v>
      </c>
      <c r="E39" s="82">
        <v>1587989</v>
      </c>
      <c r="F39" s="82">
        <v>1050082</v>
      </c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>
        <v>67759</v>
      </c>
      <c r="E40" s="82">
        <v>153013</v>
      </c>
      <c r="F40" s="82">
        <v>81854</v>
      </c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12863898</v>
      </c>
      <c r="D41" s="82">
        <v>12220942</v>
      </c>
      <c r="E41" s="82">
        <v>12078528</v>
      </c>
      <c r="F41" s="82">
        <v>11324224</v>
      </c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-26962</v>
      </c>
      <c r="D42" s="82">
        <v>-498</v>
      </c>
      <c r="E42" s="82">
        <v>468</v>
      </c>
      <c r="F42" s="82">
        <v>411</v>
      </c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>
        <v>3475378</v>
      </c>
      <c r="E43" s="82">
        <v>4499643</v>
      </c>
      <c r="F43" s="82">
        <v>4455433</v>
      </c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0.72+0.64</f>
        <v>1.3599999999999999</v>
      </c>
      <c r="D44" s="86">
        <f>0.55+0.55</f>
        <v>1.1000000000000001</v>
      </c>
      <c r="E44" s="86">
        <f>0.55+0.55</f>
        <v>1.1000000000000001</v>
      </c>
      <c r="F44" s="86">
        <f>0.5+0.5</f>
        <v>1</v>
      </c>
      <c r="G44" s="86">
        <f>0.5+0.5</f>
        <v>1</v>
      </c>
      <c r="H44" s="86">
        <f>0.6+0.55</f>
        <v>1.1499999999999999</v>
      </c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9.6317280453257784E-2</v>
      </c>
      <c r="D45" s="87">
        <f>IF(D44="","",D44*Exchange_Rate/Dashboard!$G$3)</f>
        <v>7.7903682719546757E-2</v>
      </c>
      <c r="E45" s="87">
        <f>IF(E44="","",E44*Exchange_Rate/Dashboard!$G$3)</f>
        <v>7.7903682719546757E-2</v>
      </c>
      <c r="F45" s="87">
        <f>IF(F44="","",F44*Exchange_Rate/Dashboard!$G$3)</f>
        <v>7.0821529745042494E-2</v>
      </c>
      <c r="G45" s="87">
        <f>IF(G44="","",G44*Exchange_Rate/Dashboard!$G$3)</f>
        <v>7.0821529745042494E-2</v>
      </c>
      <c r="H45" s="87">
        <f>IF(H44="","",H44*Exchange_Rate/Dashboard!$G$3)</f>
        <v>8.1444759206798861E-2</v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>
        <v>1998219</v>
      </c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>
        <v>265773</v>
      </c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>
        <v>366595</v>
      </c>
      <c r="D54" s="114">
        <v>0.1</v>
      </c>
      <c r="E54" s="266"/>
    </row>
    <row r="55" spans="2:5" x14ac:dyDescent="0.35">
      <c r="B55" s="9" t="s">
        <v>40</v>
      </c>
      <c r="C55" s="91">
        <v>9672256</v>
      </c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>
        <v>29465</v>
      </c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>
        <v>103050</v>
      </c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>
        <v>925726</v>
      </c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>
        <v>2522337</v>
      </c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>
        <v>538321</v>
      </c>
      <c r="D70" s="114">
        <v>0.05</v>
      </c>
      <c r="E70" s="266"/>
    </row>
    <row r="71" spans="2:5" x14ac:dyDescent="0.35">
      <c r="B71" s="9" t="s">
        <v>68</v>
      </c>
      <c r="C71" s="91">
        <v>154648</v>
      </c>
      <c r="D71" s="114">
        <f>D58</f>
        <v>0.9</v>
      </c>
      <c r="E71" s="266"/>
    </row>
    <row r="72" spans="2:5" ht="12" thickBot="1" x14ac:dyDescent="0.4">
      <c r="B72" s="94" t="s">
        <v>69</v>
      </c>
      <c r="C72" s="95">
        <v>277674</v>
      </c>
      <c r="D72" s="116">
        <v>0</v>
      </c>
      <c r="E72" s="268"/>
    </row>
    <row r="73" spans="2:5" x14ac:dyDescent="0.35">
      <c r="B73" s="9" t="s">
        <v>32</v>
      </c>
      <c r="C73" s="91">
        <v>1427805</v>
      </c>
    </row>
    <row r="74" spans="2:5" x14ac:dyDescent="0.35">
      <c r="B74" s="9" t="s">
        <v>33</v>
      </c>
      <c r="C74" s="91">
        <v>287697</v>
      </c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>
        <v>3516809</v>
      </c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>
        <v>319420</v>
      </c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>
        <v>473357</v>
      </c>
    </row>
    <row r="83" spans="2:8" ht="12" hidden="1" thickTop="1" x14ac:dyDescent="0.35">
      <c r="B83" s="98" t="s">
        <v>251</v>
      </c>
      <c r="C83" s="84">
        <v>12890860</v>
      </c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220</v>
      </c>
      <c r="C87" s="112" t="s">
        <v>279</v>
      </c>
      <c r="D87" s="113">
        <v>0.02</v>
      </c>
    </row>
    <row r="89" spans="2:8" x14ac:dyDescent="0.35">
      <c r="B89" s="99" t="s">
        <v>118</v>
      </c>
      <c r="C89" s="309">
        <f>C24</f>
        <v>45382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15325962</v>
      </c>
      <c r="D91" s="103"/>
      <c r="E91" s="104">
        <f>C91*0.8</f>
        <v>12260769.600000001</v>
      </c>
      <c r="F91" s="104">
        <f>C91*0.9</f>
        <v>13793365.800000001</v>
      </c>
    </row>
    <row r="92" spans="2:8" x14ac:dyDescent="0.35">
      <c r="B92" s="105" t="s">
        <v>98</v>
      </c>
      <c r="C92" s="102">
        <f>C26</f>
        <v>11151623</v>
      </c>
      <c r="D92" s="106">
        <f>C92/C91</f>
        <v>0.72762956087193742</v>
      </c>
      <c r="E92" s="107">
        <f>E91*D92</f>
        <v>8921298.4000000004</v>
      </c>
      <c r="F92" s="107">
        <f>F91*D92</f>
        <v>10036460.700000001</v>
      </c>
    </row>
    <row r="93" spans="2:8" x14ac:dyDescent="0.35">
      <c r="B93" s="105" t="s">
        <v>219</v>
      </c>
      <c r="C93" s="102">
        <f>C27+C28</f>
        <v>2297566</v>
      </c>
      <c r="D93" s="106">
        <f>C93/C91</f>
        <v>0.14991333007350532</v>
      </c>
      <c r="E93" s="107">
        <f>E91*16.54%</f>
        <v>2027931.2918400001</v>
      </c>
      <c r="F93" s="107">
        <f>F91*16.54%</f>
        <v>2281422.7033199999</v>
      </c>
    </row>
    <row r="94" spans="2:8" x14ac:dyDescent="0.35">
      <c r="B94" s="105" t="s">
        <v>225</v>
      </c>
      <c r="C94" s="102">
        <f>C29</f>
        <v>59596</v>
      </c>
      <c r="D94" s="106">
        <f>C94/C91</f>
        <v>3.8885650375487034E-3</v>
      </c>
      <c r="E94" s="108"/>
      <c r="F94" s="107">
        <f>F91*D94</f>
        <v>53636.4</v>
      </c>
    </row>
    <row r="95" spans="2:8" x14ac:dyDescent="0.35">
      <c r="B95" s="18" t="s">
        <v>218</v>
      </c>
      <c r="C95" s="102">
        <f>ABS(MAX(C33,0)-C32)</f>
        <v>219833</v>
      </c>
      <c r="D95" s="106">
        <f>C95/C91</f>
        <v>1.4343830423173436E-2</v>
      </c>
      <c r="E95" s="107">
        <f>E91*0.01</f>
        <v>122607.69600000001</v>
      </c>
      <c r="F95" s="107">
        <f>F91*0.01</f>
        <v>137933.658</v>
      </c>
    </row>
    <row r="96" spans="2:8" x14ac:dyDescent="0.35">
      <c r="B96" s="18" t="s">
        <v>102</v>
      </c>
      <c r="C96" s="102">
        <f>MAX(C31,0)</f>
        <v>626583</v>
      </c>
      <c r="D96" s="106">
        <f>C96/C91</f>
        <v>4.0883763120383568E-2</v>
      </c>
      <c r="E96" s="108"/>
      <c r="F96" s="107">
        <f>F91*2%</f>
        <v>275867.31599999999</v>
      </c>
    </row>
    <row r="97" spans="2:6" x14ac:dyDescent="0.35">
      <c r="B97" s="98" t="s">
        <v>153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183</v>
      </c>
      <c r="C98" s="109">
        <f>C44</f>
        <v>1.3599999999999999</v>
      </c>
      <c r="D98" s="110"/>
      <c r="E98" s="111">
        <v>1</v>
      </c>
      <c r="F98" s="111">
        <f>0.55+0.55</f>
        <v>1.1000000000000001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0590.HK : 六福珠宝</v>
      </c>
      <c r="D2" s="3"/>
      <c r="E2" s="7"/>
      <c r="F2" s="7"/>
      <c r="G2" s="8"/>
      <c r="H2" s="8"/>
    </row>
    <row r="3" spans="1:10" ht="15.75" customHeight="1" x14ac:dyDescent="0.35">
      <c r="B3" s="9" t="s">
        <v>170</v>
      </c>
      <c r="C3" s="315" t="str">
        <f>Inputs!C4</f>
        <v>0590.HK</v>
      </c>
      <c r="D3" s="316"/>
      <c r="E3" s="3"/>
      <c r="F3" s="9" t="s">
        <v>1</v>
      </c>
      <c r="G3" s="10">
        <v>14.12</v>
      </c>
      <c r="H3" s="11" t="s">
        <v>260</v>
      </c>
    </row>
    <row r="4" spans="1:10" ht="15.75" customHeight="1" x14ac:dyDescent="0.35">
      <c r="B4" s="12" t="s">
        <v>171</v>
      </c>
      <c r="C4" s="317" t="str">
        <f>Inputs!C5</f>
        <v>六福珠宝</v>
      </c>
      <c r="D4" s="318"/>
      <c r="E4" s="3"/>
      <c r="F4" s="9" t="s">
        <v>3</v>
      </c>
      <c r="G4" s="321">
        <f>Inputs!C10</f>
        <v>587107850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45643</v>
      </c>
      <c r="D5" s="320"/>
      <c r="E5" s="16"/>
      <c r="F5" s="12" t="s">
        <v>92</v>
      </c>
      <c r="G5" s="313">
        <f>G3*G4/1000000</f>
        <v>8289.9628420000008</v>
      </c>
      <c r="H5" s="313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45626</v>
      </c>
      <c r="E6" s="20">
        <f>IF(Fin_Analysis!E9="FY",Fin_Analysis!D9,Data!C3)</f>
        <v>45382</v>
      </c>
      <c r="F6" s="9" t="s">
        <v>5</v>
      </c>
      <c r="G6" s="314" t="str">
        <f>Inputs!C11</f>
        <v>HKD</v>
      </c>
      <c r="H6" s="314"/>
      <c r="I6" s="17"/>
    </row>
    <row r="7" spans="1:10" ht="15.75" customHeight="1" x14ac:dyDescent="0.35">
      <c r="B7" s="8" t="s">
        <v>168</v>
      </c>
      <c r="C7" s="128" t="str">
        <f>Inputs!C8</f>
        <v xml:space="preserve">Superior Cycl. </v>
      </c>
      <c r="D7" s="128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>
        <f>C21*C22*C23</f>
        <v>0.14558943313324324</v>
      </c>
      <c r="F20" s="3" t="s">
        <v>187</v>
      </c>
      <c r="G20" s="121">
        <v>0.15</v>
      </c>
      <c r="H20" s="307">
        <v>3</v>
      </c>
    </row>
    <row r="21" spans="1:8" ht="15.75" customHeight="1" thickTop="1" x14ac:dyDescent="0.35">
      <c r="B21" s="32" t="s">
        <v>241</v>
      </c>
      <c r="C21" s="33">
        <f>Data!C13</f>
        <v>0.12245710905455723</v>
      </c>
      <c r="F21" s="3"/>
      <c r="G21" s="34"/>
    </row>
    <row r="22" spans="1:8" ht="15.75" customHeight="1" x14ac:dyDescent="0.35">
      <c r="B22" s="35" t="s">
        <v>248</v>
      </c>
      <c r="C22" s="36">
        <f>Data!C48</f>
        <v>0.90933332162498015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>
        <f>1/Data!C53</f>
        <v>1.3074429479491672</v>
      </c>
      <c r="F23" s="39" t="s">
        <v>166</v>
      </c>
      <c r="G23" s="40">
        <f>G3/(Data!C34*Data!C4/Common_Shares*Exchange_Rate)</f>
        <v>0.64443630087862946</v>
      </c>
    </row>
    <row r="24" spans="1:8" ht="15.75" customHeight="1" x14ac:dyDescent="0.35">
      <c r="B24" s="41" t="s">
        <v>242</v>
      </c>
      <c r="C24" s="42">
        <f>Fin_Analysis!I81</f>
        <v>3.8885650375487034E-3</v>
      </c>
      <c r="F24" s="39" t="s">
        <v>227</v>
      </c>
      <c r="G24" s="43">
        <f>G3/(Fin_Analysis!H86*G7)</f>
        <v>10.965069556066998</v>
      </c>
    </row>
    <row r="25" spans="1:8" ht="15.75" customHeight="1" x14ac:dyDescent="0.35">
      <c r="B25" s="28" t="s">
        <v>243</v>
      </c>
      <c r="C25" s="44">
        <f>Fin_Analysis!I80</f>
        <v>1.9999999999999997E-2</v>
      </c>
      <c r="F25" s="39" t="s">
        <v>154</v>
      </c>
      <c r="G25" s="44">
        <f>Fin_Analysis!I88</f>
        <v>0.85421929969360477</v>
      </c>
    </row>
    <row r="26" spans="1:8" ht="15.75" customHeight="1" x14ac:dyDescent="0.35">
      <c r="B26" s="45" t="s">
        <v>244</v>
      </c>
      <c r="C26" s="44">
        <f>Fin_Analysis!I80+Fin_Analysis!I82</f>
        <v>2.9999999999999995E-2</v>
      </c>
      <c r="F26" s="46" t="s">
        <v>169</v>
      </c>
      <c r="G26" s="47">
        <f>Fin_Analysis!H88*Exchange_Rate/G3</f>
        <v>7.7903682719546757E-2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1" t="s">
        <v>226</v>
      </c>
      <c r="H28" s="311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14.303896328986104</v>
      </c>
      <c r="D29" s="54">
        <f>G29*(1+G20)</f>
        <v>25.050395439880102</v>
      </c>
      <c r="E29" s="3"/>
      <c r="F29" s="55">
        <f>IF(Fin_Analysis!C108="Profit",Fin_Analysis!F100,IF(Fin_Analysis!C108="Dividend",Fin_Analysis!F103,Fin_Analysis!F106))</f>
        <v>16.828113328218947</v>
      </c>
      <c r="G29" s="312">
        <f>IF(Fin_Analysis!C108="Profit",Fin_Analysis!I100,IF(Fin_Analysis!C108="Dividend",Fin_Analysis!I103,Fin_Analysis!I106))</f>
        <v>21.782952556417481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Strongly agree</v>
      </c>
    </row>
    <row r="34" spans="1:4" ht="15.75" customHeight="1" x14ac:dyDescent="0.35">
      <c r="B34" s="57" t="s">
        <v>200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agree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agree</v>
      </c>
    </row>
    <row r="40" spans="1:4" ht="15.75" customHeight="1" x14ac:dyDescent="0.35">
      <c r="B40" s="2" t="s">
        <v>205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45382</v>
      </c>
      <c r="E3" s="143" t="s">
        <v>176</v>
      </c>
      <c r="F3" s="144">
        <f>H14</f>
        <v>1602523</v>
      </c>
      <c r="G3" s="144">
        <f>C14</f>
        <v>1876773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>
        <f>(G3/F3)^(1/H3)-1</f>
        <v>2.6678764368153862E-2</v>
      </c>
      <c r="J4" s="3"/>
    </row>
    <row r="5" spans="1:14" ht="15.75" customHeight="1" x14ac:dyDescent="0.35">
      <c r="A5" s="134"/>
      <c r="B5" s="76" t="s">
        <v>124</v>
      </c>
      <c r="C5" s="294">
        <f>C3</f>
        <v>45382</v>
      </c>
      <c r="D5" s="295">
        <f>EOMONTH(EDATE(C5,-12),0)</f>
        <v>45016</v>
      </c>
      <c r="E5" s="295">
        <f t="shared" ref="E5:M5" si="0">EOMONTH(EDATE(D5,-12),0)</f>
        <v>44651</v>
      </c>
      <c r="F5" s="295">
        <f t="shared" si="0"/>
        <v>44286</v>
      </c>
      <c r="G5" s="295">
        <f t="shared" si="0"/>
        <v>43921</v>
      </c>
      <c r="H5" s="295">
        <f t="shared" si="0"/>
        <v>43555</v>
      </c>
      <c r="I5" s="295">
        <f t="shared" si="0"/>
        <v>43190</v>
      </c>
      <c r="J5" s="295">
        <f t="shared" si="0"/>
        <v>42825</v>
      </c>
      <c r="K5" s="295">
        <f t="shared" si="0"/>
        <v>42460</v>
      </c>
      <c r="L5" s="295">
        <f t="shared" si="0"/>
        <v>42094</v>
      </c>
      <c r="M5" s="295">
        <f t="shared" si="0"/>
        <v>41729</v>
      </c>
    </row>
    <row r="6" spans="1:14" ht="15.75" customHeight="1" x14ac:dyDescent="0.35">
      <c r="A6" s="140"/>
      <c r="B6" s="269" t="s">
        <v>12</v>
      </c>
      <c r="C6" s="147">
        <f>IF(Inputs!C25=""," ",Inputs!C25)</f>
        <v>15325962</v>
      </c>
      <c r="D6" s="147">
        <f>IF(Inputs!D25="","",Inputs!D25)</f>
        <v>11977844</v>
      </c>
      <c r="E6" s="147">
        <f>IF(Inputs!E25="","",Inputs!E25)</f>
        <v>11737803</v>
      </c>
      <c r="F6" s="147">
        <f>IF(Inputs!F25="","",Inputs!F25)</f>
        <v>8861335</v>
      </c>
      <c r="G6" s="147">
        <f>IF(Inputs!G25="","",Inputs!G25)</f>
        <v>11233771</v>
      </c>
      <c r="H6" s="147">
        <f>IF(Inputs!H25="","",Inputs!H25)</f>
        <v>15859990</v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0.27952593137796744</v>
      </c>
      <c r="D7" s="148">
        <f t="shared" si="1"/>
        <v>2.0450249505806095E-2</v>
      </c>
      <c r="E7" s="148">
        <f t="shared" si="1"/>
        <v>0.32460887665346139</v>
      </c>
      <c r="F7" s="148">
        <f t="shared" si="1"/>
        <v>-0.21118785490642455</v>
      </c>
      <c r="G7" s="148">
        <f t="shared" si="1"/>
        <v>-0.29169116752280422</v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11151623</v>
      </c>
      <c r="D8" s="149">
        <f>IF(Inputs!D26="","",Inputs!D26)</f>
        <v>8747447</v>
      </c>
      <c r="E8" s="149">
        <f>IF(Inputs!E26="","",Inputs!E26)</f>
        <v>8503976</v>
      </c>
      <c r="F8" s="149">
        <f>IF(Inputs!F26="","",Inputs!F26)</f>
        <v>6229020</v>
      </c>
      <c r="G8" s="149">
        <f>IF(Inputs!G26="","",Inputs!G26)</f>
        <v>7910751</v>
      </c>
      <c r="H8" s="149">
        <f>IF(Inputs!H26="","",Inputs!H26)</f>
        <v>11826154</v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4174339</v>
      </c>
      <c r="D9" s="279">
        <f t="shared" si="2"/>
        <v>3230397</v>
      </c>
      <c r="E9" s="279">
        <f t="shared" si="2"/>
        <v>3233827</v>
      </c>
      <c r="F9" s="279">
        <f t="shared" si="2"/>
        <v>2632315</v>
      </c>
      <c r="G9" s="279">
        <f t="shared" si="2"/>
        <v>3323020</v>
      </c>
      <c r="H9" s="279">
        <f t="shared" si="2"/>
        <v>4033836</v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2297566</v>
      </c>
      <c r="D10" s="149">
        <f>IF(Inputs!D27="","",Inputs!D27)</f>
        <v>1867515</v>
      </c>
      <c r="E10" s="149">
        <f>IF(Inputs!E27="","",Inputs!E27)</f>
        <v>1815111</v>
      </c>
      <c r="F10" s="149">
        <f>IF(Inputs!F27="","",Inputs!F27)</f>
        <v>1694480</v>
      </c>
      <c r="G10" s="149">
        <f>IF(Inputs!G27="","",Inputs!G27)</f>
        <v>2118252</v>
      </c>
      <c r="H10" s="149">
        <f>IF(Inputs!H27="","",Inputs!H27)</f>
        <v>2416769</v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>
        <f>IF(Inputs!E30="","",MAX(Inputs!E30,0)/(1-Fin_Analysis!$I$84))</f>
        <v>0</v>
      </c>
      <c r="F12" s="149">
        <f>IF(Inputs!F30="","",MAX(Inputs!F30,0)/(1-Fin_Analysis!$I$84))</f>
        <v>2398.6666666666665</v>
      </c>
      <c r="G12" s="149">
        <f>IF(Inputs!G30="","",MAX(Inputs!G30,0)/(1-Fin_Analysis!$I$84))</f>
        <v>1782.6666666666667</v>
      </c>
      <c r="H12" s="149">
        <f>IF(Inputs!H30="","",MAX(Inputs!H30,0)/(1-Fin_Analysis!$I$84))</f>
        <v>14544</v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0.12245710905455723</v>
      </c>
      <c r="D13" s="300">
        <f t="shared" si="3"/>
        <v>0.11378358242100998</v>
      </c>
      <c r="E13" s="300">
        <f t="shared" si="3"/>
        <v>0.12086725258551366</v>
      </c>
      <c r="F13" s="300">
        <f t="shared" si="3"/>
        <v>0.10556381553494291</v>
      </c>
      <c r="G13" s="300">
        <f t="shared" si="3"/>
        <v>0.10708651024961549</v>
      </c>
      <c r="H13" s="300">
        <f t="shared" si="3"/>
        <v>0.10104186698730579</v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1876773</v>
      </c>
      <c r="D14" s="302">
        <f t="shared" ref="D14:M14" si="4">IF(D6="","",D9-D10-MAX(D11,0)-MAX(D12,0))</f>
        <v>1362882</v>
      </c>
      <c r="E14" s="302">
        <f t="shared" si="4"/>
        <v>1418716</v>
      </c>
      <c r="F14" s="302">
        <f t="shared" si="4"/>
        <v>935436.33333333337</v>
      </c>
      <c r="G14" s="302">
        <f t="shared" si="4"/>
        <v>1202985.3333333333</v>
      </c>
      <c r="H14" s="302">
        <f t="shared" si="4"/>
        <v>1602523</v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0.37706199069325153</v>
      </c>
      <c r="D15" s="304">
        <f t="shared" ref="D15:M15" si="5">IF(E14="","",IF(ABS(D14+E14)=ABS(D14)+ABS(E14),IF(D14&lt;0,-1,1)*(D14-E14)/E14,"Turn"))</f>
        <v>-3.9355304373814071E-2</v>
      </c>
      <c r="E15" s="304">
        <f t="shared" si="5"/>
        <v>0.51663555225030455</v>
      </c>
      <c r="F15" s="304">
        <f t="shared" si="5"/>
        <v>-0.22240420775426459</v>
      </c>
      <c r="G15" s="304">
        <f t="shared" si="5"/>
        <v>-0.24931789850546091</v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>
        <f>IF(Inputs!C31="","",Inputs!C31)</f>
        <v>626583</v>
      </c>
      <c r="D16" s="149">
        <f>IF(Inputs!D31="","",Inputs!D31)</f>
        <v>352099</v>
      </c>
      <c r="E16" s="149">
        <f>IF(Inputs!E31="","",Inputs!E31)</f>
        <v>1045251</v>
      </c>
      <c r="F16" s="149">
        <f>IF(Inputs!F31="","",Inputs!F31)</f>
        <v>-818677</v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59596</v>
      </c>
      <c r="D17" s="149">
        <f>IF(Inputs!D29="","",Inputs!D29)</f>
        <v>20763</v>
      </c>
      <c r="E17" s="149">
        <f>IF(Inputs!E29="","",Inputs!E29)</f>
        <v>23097</v>
      </c>
      <c r="F17" s="149">
        <f>IF(Inputs!F29="","",Inputs!F29)</f>
        <v>28849</v>
      </c>
      <c r="G17" s="149">
        <f>IF(Inputs!G29="","",Inputs!G29)</f>
        <v>63075</v>
      </c>
      <c r="H17" s="149">
        <f>IF(Inputs!H29="","",Inputs!H29)</f>
        <v>34253</v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>
        <f t="shared" ref="C18:M18" si="6">IF(OR(C6="",C19=""),"",C19/C6)</f>
        <v>2.9789581887257714E-2</v>
      </c>
      <c r="D18" s="233">
        <f t="shared" si="6"/>
        <v>3.1156775793707115E-2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>
        <f>IF(Inputs!C32="","",Inputs!C32)</f>
        <v>456554</v>
      </c>
      <c r="D19" s="149">
        <f>IF(Inputs!D32="","",Inputs!D32)</f>
        <v>373191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4.413341231043115E-2</v>
      </c>
      <c r="D20" s="233">
        <f t="shared" si="7"/>
        <v>8.9565367523571013E-3</v>
      </c>
      <c r="E20" s="233">
        <f t="shared" si="7"/>
        <v>3.8804791663312119E-2</v>
      </c>
      <c r="F20" s="233">
        <f t="shared" si="7"/>
        <v>1.5679014505150749E-2</v>
      </c>
      <c r="G20" s="233">
        <f t="shared" si="7"/>
        <v>0</v>
      </c>
      <c r="H20" s="233">
        <f t="shared" si="7"/>
        <v>0</v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>
        <f>IF(Inputs!C33="","",Inputs!C33)</f>
        <v>676387</v>
      </c>
      <c r="D21" s="149">
        <f>IF(Inputs!D33="","",Inputs!D33)</f>
        <v>107280</v>
      </c>
      <c r="E21" s="149">
        <f>IF(Inputs!E33="","",Inputs!E33)</f>
        <v>455483</v>
      </c>
      <c r="F21" s="149">
        <f>IF(Inputs!F33="","",Inputs!F33)</f>
        <v>138937</v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970761</v>
      </c>
      <c r="D22" s="283">
        <f t="shared" ref="D22:M22" si="8">IF(D6="","",D14-MAX(D16,0)-MAX(D17,0)-ABS(MAX(D21,0)-MAX(D19,0)))</f>
        <v>724109</v>
      </c>
      <c r="E22" s="283">
        <f t="shared" si="8"/>
        <v>-105115</v>
      </c>
      <c r="F22" s="283">
        <f t="shared" si="8"/>
        <v>767650.33333333337</v>
      </c>
      <c r="G22" s="283">
        <f t="shared" si="8"/>
        <v>1139910.3333333333</v>
      </c>
      <c r="H22" s="283">
        <f t="shared" si="8"/>
        <v>1568270</v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4.7505712855088637E-2</v>
      </c>
      <c r="D23" s="148">
        <f t="shared" si="9"/>
        <v>4.5340526224919943E-2</v>
      </c>
      <c r="E23" s="148">
        <f t="shared" si="9"/>
        <v>-6.7164400356693665E-3</v>
      </c>
      <c r="F23" s="148">
        <f t="shared" si="9"/>
        <v>6.4971897575252485E-2</v>
      </c>
      <c r="G23" s="148">
        <f t="shared" si="9"/>
        <v>7.6103807884280353E-2</v>
      </c>
      <c r="H23" s="148">
        <f t="shared" si="9"/>
        <v>7.4161616747551548E-2</v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728070.75</v>
      </c>
      <c r="D24" s="282">
        <f>IF(D6="","",D22*(1-Fin_Analysis!$I$84))</f>
        <v>543081.75</v>
      </c>
      <c r="E24" s="282">
        <f>IF(E6="","",E22*(1-Fin_Analysis!$I$84))</f>
        <v>-78836.25</v>
      </c>
      <c r="F24" s="282">
        <f>IF(F6="","",F22*(1-Fin_Analysis!$I$84))</f>
        <v>575737.75</v>
      </c>
      <c r="G24" s="282">
        <f>IF(G6="","",G22*(1-Fin_Analysis!$I$84))</f>
        <v>854932.75</v>
      </c>
      <c r="H24" s="282">
        <f>IF(H6="","",H22*(1-Fin_Analysis!$I$84))</f>
        <v>1176202.5</v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0.34062827557729569</v>
      </c>
      <c r="D25" s="152" t="str">
        <f t="shared" ref="D25:M25" si="10">IF(E24="","",IF(ABS(D24+E24)=ABS(D24)+ABS(E24),IF(D24&lt;0,-1,1)*(D24-E24)/E24,"Turn"))</f>
        <v>Turn</v>
      </c>
      <c r="E25" s="152" t="str">
        <f t="shared" si="10"/>
        <v>Turn</v>
      </c>
      <c r="F25" s="152">
        <f t="shared" si="10"/>
        <v>-0.32656954596721205</v>
      </c>
      <c r="G25" s="152">
        <f t="shared" si="10"/>
        <v>-0.27314152962606353</v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45382</v>
      </c>
      <c r="D26" s="78">
        <f>D5</f>
        <v>45016</v>
      </c>
      <c r="E26" s="78">
        <f t="shared" ref="E26" si="11">EOMONTH(EDATE(D26,-12),0)</f>
        <v>44651</v>
      </c>
      <c r="F26" s="78">
        <f t="shared" ref="F26" si="12">EOMONTH(EDATE(E26,-12),0)</f>
        <v>44286</v>
      </c>
      <c r="G26" s="78">
        <f t="shared" ref="G26" si="13">EOMONTH(EDATE(F26,-12),0)</f>
        <v>43921</v>
      </c>
      <c r="H26" s="78">
        <f t="shared" ref="H26" si="14">EOMONTH(EDATE(G26,-12),0)</f>
        <v>43555</v>
      </c>
      <c r="I26" s="78">
        <f t="shared" ref="I26" si="15">EOMONTH(EDATE(H26,-12),0)</f>
        <v>43190</v>
      </c>
      <c r="J26" s="78">
        <f t="shared" ref="J26" si="16">EOMONTH(EDATE(I26,-12),0)</f>
        <v>42825</v>
      </c>
      <c r="K26" s="78">
        <f t="shared" ref="K26" si="17">EOMONTH(EDATE(J26,-12),0)</f>
        <v>42460</v>
      </c>
      <c r="L26" s="78">
        <f t="shared" ref="L26" si="18">EOMONTH(EDATE(K26,-12),0)</f>
        <v>42094</v>
      </c>
      <c r="M26" s="78">
        <f t="shared" ref="M26" si="19">EOMONTH(EDATE(L26,-12),0)</f>
        <v>41729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16854064</v>
      </c>
      <c r="D27" s="153">
        <f>IF(D34="","",D34+D30)</f>
        <v>14687373</v>
      </c>
      <c r="E27" s="153">
        <f t="shared" ref="E27:M27" si="20">IF(E34="","",E34+E30)</f>
        <v>15987114</v>
      </c>
      <c r="F27" s="153">
        <f t="shared" si="20"/>
        <v>14270996</v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265773</v>
      </c>
      <c r="D28" s="149">
        <f>IF(Inputs!D35="","",Inputs!D35)</f>
        <v>213823</v>
      </c>
      <c r="E28" s="149">
        <f>IF(Inputs!E35="","",Inputs!E35)</f>
        <v>187711</v>
      </c>
      <c r="F28" s="149">
        <f>IF(Inputs!F35="","",Inputs!F35)</f>
        <v>277338</v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9672256</v>
      </c>
      <c r="D29" s="149">
        <f>IF(Inputs!D36="","",Inputs!D36)</f>
        <v>8852611</v>
      </c>
      <c r="E29" s="149">
        <f>IF(Inputs!E36="","",Inputs!E36)</f>
        <v>8769304</v>
      </c>
      <c r="F29" s="149">
        <f>IF(Inputs!F36="","",Inputs!F36)</f>
        <v>7321614</v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3990166</v>
      </c>
      <c r="D30" s="149">
        <f>IF(Inputs!D37="","",Inputs!D37)</f>
        <v>2466431</v>
      </c>
      <c r="E30" s="149">
        <f>IF(Inputs!E37="","",Inputs!E37)</f>
        <v>3908586</v>
      </c>
      <c r="F30" s="149">
        <f>IF(Inputs!F37="","",Inputs!F37)</f>
        <v>2946772</v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1715502</v>
      </c>
      <c r="D31" s="149">
        <f>IF(Inputs!D39="","",Inputs!D39)</f>
        <v>1035175</v>
      </c>
      <c r="E31" s="149">
        <f>IF(Inputs!E39="","",Inputs!E39)</f>
        <v>1587989</v>
      </c>
      <c r="F31" s="149">
        <f>IF(Inputs!F39="","",Inputs!F39)</f>
        <v>1050082</v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319420</v>
      </c>
      <c r="D32" s="149">
        <f>IF(Inputs!D40="","",Inputs!D40)</f>
        <v>67759</v>
      </c>
      <c r="E32" s="149">
        <f>IF(Inputs!E40="","",Inputs!E40)</f>
        <v>153013</v>
      </c>
      <c r="F32" s="149">
        <f>IF(Inputs!F40="","",Inputs!F40)</f>
        <v>81854</v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2034922</v>
      </c>
      <c r="D33" s="102">
        <f t="shared" ref="D33" si="22">IF(OR(D31="",D32=""),"",D31+D32)</f>
        <v>1102934</v>
      </c>
      <c r="E33" s="102">
        <f t="shared" ref="E33" si="23">IF(OR(E31="",E32=""),"",E31+E32)</f>
        <v>1741002</v>
      </c>
      <c r="F33" s="102">
        <f t="shared" ref="F33" si="24">IF(OR(F31="",F32=""),"",F31+F32)</f>
        <v>1131936</v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12863898</v>
      </c>
      <c r="D34" s="149">
        <f>IF(Inputs!D41="","",Inputs!D41)</f>
        <v>12220942</v>
      </c>
      <c r="E34" s="149">
        <f>IF(Inputs!E41="","",Inputs!E41)</f>
        <v>12078528</v>
      </c>
      <c r="F34" s="149">
        <f>IF(Inputs!F41="","",Inputs!F41)</f>
        <v>11324224</v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-26962</v>
      </c>
      <c r="D35" s="149">
        <f>IF(Inputs!D42="","",Inputs!D42)</f>
        <v>-498</v>
      </c>
      <c r="E35" s="149">
        <f>IF(Inputs!E42="","",Inputs!E42)</f>
        <v>468</v>
      </c>
      <c r="F35" s="149">
        <f>IF(Inputs!F42="","",Inputs!F42)</f>
        <v>411</v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>
        <f>IF(Inputs!D43="","",Inputs!D43)</f>
        <v>3475378</v>
      </c>
      <c r="E36" s="149">
        <f>IF(Inputs!E43="","",Inputs!E43)</f>
        <v>4499643</v>
      </c>
      <c r="F36" s="149">
        <f>IF(Inputs!F43="","",Inputs!F43)</f>
        <v>4455433</v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13930119</v>
      </c>
      <c r="D37" s="153">
        <f t="shared" ref="D37:M37" si="32">IF(D36="","",D27-D36)</f>
        <v>11211995</v>
      </c>
      <c r="E37" s="153">
        <f t="shared" si="32"/>
        <v>11487471</v>
      </c>
      <c r="F37" s="153">
        <f t="shared" si="32"/>
        <v>9815563</v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0.13472770763839131</v>
      </c>
      <c r="D38" s="154">
        <f>IF(D6="","",D14/MAX(D37,0))</f>
        <v>0.12155570886358762</v>
      </c>
      <c r="E38" s="154">
        <f>IF(E6="","",E14/MAX(E37,0))</f>
        <v>0.12350116052523658</v>
      </c>
      <c r="F38" s="154">
        <f t="shared" ref="F38:M38" si="33">IF(F37="","",F14/F37)</f>
        <v>9.5301342707833817E-2</v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0.72762956087193742</v>
      </c>
      <c r="D40" s="156">
        <f t="shared" si="34"/>
        <v>0.7303022981431383</v>
      </c>
      <c r="E40" s="156">
        <f t="shared" si="34"/>
        <v>0.7244946946204498</v>
      </c>
      <c r="F40" s="156">
        <f t="shared" si="34"/>
        <v>0.70294374380383995</v>
      </c>
      <c r="G40" s="156">
        <f t="shared" si="34"/>
        <v>0.70419372087965826</v>
      </c>
      <c r="H40" s="156">
        <f t="shared" si="34"/>
        <v>0.74565961264792724</v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0.14991333007350532</v>
      </c>
      <c r="D41" s="151">
        <f t="shared" si="35"/>
        <v>0.15591411943585173</v>
      </c>
      <c r="E41" s="151">
        <f t="shared" si="35"/>
        <v>0.1546380527940365</v>
      </c>
      <c r="F41" s="151">
        <f t="shared" si="35"/>
        <v>0.19122175157580659</v>
      </c>
      <c r="G41" s="151">
        <f t="shared" si="35"/>
        <v>0.18856108069142588</v>
      </c>
      <c r="H41" s="151">
        <f t="shared" si="35"/>
        <v>0.15238149582692045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4.0883763120383568E-2</v>
      </c>
      <c r="D42" s="151">
        <f t="shared" si="36"/>
        <v>2.9395857885609465E-2</v>
      </c>
      <c r="E42" s="151">
        <f t="shared" si="36"/>
        <v>8.9049969572670459E-2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3.8885650375487034E-3</v>
      </c>
      <c r="D43" s="151">
        <f t="shared" si="37"/>
        <v>1.7334505274905901E-3</v>
      </c>
      <c r="E43" s="151">
        <f t="shared" si="37"/>
        <v>1.9677447304235723E-3</v>
      </c>
      <c r="F43" s="151">
        <f t="shared" si="37"/>
        <v>3.2556042627888463E-3</v>
      </c>
      <c r="G43" s="151">
        <f t="shared" si="37"/>
        <v>5.6147664039083583E-3</v>
      </c>
      <c r="H43" s="151">
        <f t="shared" si="37"/>
        <v>2.1597113239037349E-3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2.7068908541056925E-4</v>
      </c>
      <c r="G44" s="151">
        <f t="shared" si="38"/>
        <v>1.5868817930031392E-4</v>
      </c>
      <c r="H44" s="151">
        <f t="shared" si="38"/>
        <v>9.1702453784649294E-4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1.4343830423173436E-2</v>
      </c>
      <c r="D45" s="151">
        <f t="shared" si="39"/>
        <v>2.2200239041350014E-2</v>
      </c>
      <c r="E45" s="151">
        <f t="shared" si="39"/>
        <v>3.8804791663312119E-2</v>
      </c>
      <c r="F45" s="151">
        <f t="shared" si="39"/>
        <v>1.5679014505150749E-2</v>
      </c>
      <c r="G45" s="151">
        <f t="shared" si="39"/>
        <v>0</v>
      </c>
      <c r="H45" s="151">
        <f t="shared" si="39"/>
        <v>0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6.3340950473451521E-2</v>
      </c>
      <c r="D46" s="289">
        <f t="shared" si="40"/>
        <v>6.0454034966559926E-2</v>
      </c>
      <c r="E46" s="289">
        <f t="shared" si="40"/>
        <v>-8.9552533808924892E-3</v>
      </c>
      <c r="F46" s="289">
        <f t="shared" si="40"/>
        <v>8.6629196767003327E-2</v>
      </c>
      <c r="G46" s="289">
        <f t="shared" si="40"/>
        <v>0.10147174384570713</v>
      </c>
      <c r="H46" s="289">
        <f t="shared" si="40"/>
        <v>9.8882155663402055E-2</v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>
        <f t="shared" ref="C48:M48" si="41">IF(C6="","",C6/C27)</f>
        <v>0.90933332162498015</v>
      </c>
      <c r="D48" s="159">
        <f t="shared" si="41"/>
        <v>0.81551983462257005</v>
      </c>
      <c r="E48" s="159">
        <f t="shared" si="41"/>
        <v>0.73420399704411943</v>
      </c>
      <c r="F48" s="159">
        <f t="shared" si="41"/>
        <v>0.62093318504188499</v>
      </c>
      <c r="G48" s="159" t="e">
        <f t="shared" si="41"/>
        <v>#VALUE!</v>
      </c>
      <c r="H48" s="159" t="e">
        <f t="shared" si="41"/>
        <v>#VALUE!</v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1.7341358408692387E-2</v>
      </c>
      <c r="D49" s="151">
        <f t="shared" si="42"/>
        <v>1.7851543232655226E-2</v>
      </c>
      <c r="E49" s="151">
        <f t="shared" si="42"/>
        <v>1.5992004636642819E-2</v>
      </c>
      <c r="F49" s="151">
        <f t="shared" si="42"/>
        <v>3.1297541510393184E-2</v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0.63110270011109249</v>
      </c>
      <c r="D50" s="151">
        <f t="shared" si="43"/>
        <v>0.73908217538982812</v>
      </c>
      <c r="E50" s="151">
        <f t="shared" si="43"/>
        <v>0.74709926550990846</v>
      </c>
      <c r="F50" s="151">
        <f t="shared" si="43"/>
        <v>0.82624277267477186</v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>
        <f t="shared" ref="C51:M51" si="44">IF(D6="","",C16/(C6-D6))</f>
        <v>0.18714483778648183</v>
      </c>
      <c r="D51" s="151">
        <f t="shared" si="44"/>
        <v>1.4668285834503272</v>
      </c>
      <c r="E51" s="151">
        <f t="shared" si="44"/>
        <v>0.3633800202192411</v>
      </c>
      <c r="F51" s="151">
        <f t="shared" si="44"/>
        <v>0.34507864490338203</v>
      </c>
      <c r="G51" s="151" t="e">
        <f t="shared" si="44"/>
        <v>#VALUE!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>
        <f t="shared" ref="C53:M53" si="45">IF(C34="","",(C34-C35)/C27)</f>
        <v>0.76485172952944758</v>
      </c>
      <c r="D53" s="156">
        <f t="shared" si="45"/>
        <v>0.83210523760784183</v>
      </c>
      <c r="E53" s="156">
        <f t="shared" si="45"/>
        <v>0.755487200504106</v>
      </c>
      <c r="F53" s="156">
        <f t="shared" si="45"/>
        <v>0.79348442112940121</v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>
        <f t="shared" ref="C54:M54" si="46">IF(OR(C22="",C33=""),"",IF(C33&lt;=0,"-",C22/C33))</f>
        <v>0.4770507174230757</v>
      </c>
      <c r="D54" s="160">
        <f t="shared" si="46"/>
        <v>0.6565297651536719</v>
      </c>
      <c r="E54" s="160">
        <f t="shared" si="46"/>
        <v>-6.0376151204880865E-2</v>
      </c>
      <c r="F54" s="160">
        <f t="shared" si="46"/>
        <v>0.67817467889821803</v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6.1391011793840093E-2</v>
      </c>
      <c r="D55" s="151">
        <f t="shared" si="47"/>
        <v>2.8673859874687374E-2</v>
      </c>
      <c r="E55" s="151">
        <f t="shared" si="47"/>
        <v>-0.21973077106026734</v>
      </c>
      <c r="F55" s="151">
        <f t="shared" si="47"/>
        <v>3.7580912490105083E-2</v>
      </c>
      <c r="G55" s="151">
        <f t="shared" si="47"/>
        <v>5.5333299607483753E-2</v>
      </c>
      <c r="H55" s="151">
        <f t="shared" si="47"/>
        <v>2.1841264578165751E-2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6.499061591317086E-2</v>
      </c>
      <c r="D56" s="151">
        <f>IF(D34="","",IF(Inputs!D38=0,0,Inputs!D38/D27))</f>
        <v>7.4847149316627282E-2</v>
      </c>
      <c r="E56" s="151">
        <f>IF(E34="","",IF(Inputs!E38=0,0,Inputs!E38/E27))</f>
        <v>6.9289303873106806E-2</v>
      </c>
      <c r="F56" s="151">
        <f>IF(F34="","",IF(Inputs!F38=0,0,Inputs!F38/F27))</f>
        <v>7.8643775108618905E-2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>
        <f t="shared" ref="C58:M58" si="49">IF(C14="","",C14/(C34-C35))</f>
        <v>0.14558943313324324</v>
      </c>
      <c r="D58" s="162">
        <f t="shared" si="49"/>
        <v>0.11151566427524089</v>
      </c>
      <c r="E58" s="162">
        <f t="shared" si="49"/>
        <v>0.11746224145268362</v>
      </c>
      <c r="F58" s="162">
        <f t="shared" si="49"/>
        <v>8.2607893059814155E-2</v>
      </c>
      <c r="G58" s="162" t="e">
        <f t="shared" si="49"/>
        <v>#VALUE!</v>
      </c>
      <c r="H58" s="162" t="e">
        <f t="shared" si="49"/>
        <v>#VALUE!</v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>
        <f t="shared" ref="C59:M59" si="50">IF(C22="","",C22/(C34-C35))</f>
        <v>7.5306147146117483E-2</v>
      </c>
      <c r="D59" s="162">
        <f t="shared" si="50"/>
        <v>5.9249073758902385E-2</v>
      </c>
      <c r="E59" s="162">
        <f t="shared" si="50"/>
        <v>-8.7029705101647117E-3</v>
      </c>
      <c r="F59" s="162">
        <f t="shared" si="50"/>
        <v>6.7790799206356847E-2</v>
      </c>
      <c r="G59" s="162" t="e">
        <f t="shared" si="50"/>
        <v>#VALUE!</v>
      </c>
      <c r="H59" s="162" t="e">
        <f t="shared" si="50"/>
        <v>#VALUE!</v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12863898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12890860</v>
      </c>
      <c r="K3" s="75"/>
    </row>
    <row r="4" spans="1:11" ht="15" customHeight="1" x14ac:dyDescent="0.35">
      <c r="B4" s="9" t="s">
        <v>22</v>
      </c>
      <c r="C4" s="3"/>
      <c r="D4" s="149">
        <f>Inputs!C42</f>
        <v>-26962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>
        <f>C28/I28</f>
        <v>3.5066755118062995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3511699.0500000007</v>
      </c>
      <c r="E6" s="176">
        <f>1-D6/D3</f>
        <v>0.72701127994018599</v>
      </c>
      <c r="F6" s="3"/>
      <c r="G6" s="3"/>
      <c r="H6" s="2" t="s">
        <v>25</v>
      </c>
      <c r="I6" s="174">
        <f>(C24+C25)/I28</f>
        <v>0.74800394334750619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5.9813525743183318</v>
      </c>
      <c r="E7" s="173" t="str">
        <f>Dashboard!H3</f>
        <v>HKD</v>
      </c>
      <c r="H7" s="2" t="s">
        <v>26</v>
      </c>
      <c r="I7" s="174">
        <f>C24/I28</f>
        <v>0.64376313868623514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45382</v>
      </c>
      <c r="E9" s="138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1998219</v>
      </c>
      <c r="D11" s="264">
        <f>Inputs!D48</f>
        <v>0.9</v>
      </c>
      <c r="E11" s="182">
        <f t="shared" ref="E11:E22" si="0">C11*D11</f>
        <v>1798397.1</v>
      </c>
      <c r="F11" s="266"/>
      <c r="G11" s="3"/>
      <c r="H11" s="9" t="s">
        <v>32</v>
      </c>
      <c r="I11" s="181">
        <f>Inputs!C73</f>
        <v>1427805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287697</v>
      </c>
      <c r="J12" s="3"/>
      <c r="K12" s="75"/>
    </row>
    <row r="13" spans="1:11" ht="11.65" x14ac:dyDescent="0.35">
      <c r="B13" s="9" t="s">
        <v>108</v>
      </c>
      <c r="C13" s="181">
        <f>Inputs!C50</f>
        <v>265773</v>
      </c>
      <c r="D13" s="264">
        <f>Inputs!D50</f>
        <v>0.6</v>
      </c>
      <c r="E13" s="182">
        <f t="shared" si="0"/>
        <v>159463.79999999999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1715502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366595</v>
      </c>
      <c r="D17" s="264">
        <f>Inputs!D54</f>
        <v>0.1</v>
      </c>
      <c r="E17" s="182">
        <f t="shared" si="0"/>
        <v>36659.5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9672256</v>
      </c>
      <c r="D18" s="264">
        <f>Inputs!D55</f>
        <v>0.5</v>
      </c>
      <c r="E18" s="182">
        <f t="shared" si="0"/>
        <v>4836128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29465</v>
      </c>
      <c r="D21" s="264">
        <f>Inputs!D58</f>
        <v>0.9</v>
      </c>
      <c r="E21" s="182">
        <f t="shared" si="0"/>
        <v>26518.5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1801307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2263992</v>
      </c>
      <c r="D24" s="191">
        <f>IF(E24=0,0,E24/C24)</f>
        <v>0.86478260523888784</v>
      </c>
      <c r="E24" s="182">
        <f>SUM(E11:E14)</f>
        <v>1957860.9000000001</v>
      </c>
      <c r="F24" s="192">
        <f>E24/$E$28</f>
        <v>0.28552038014416714</v>
      </c>
      <c r="G24" s="3"/>
    </row>
    <row r="25" spans="2:10" ht="15" customHeight="1" x14ac:dyDescent="0.35">
      <c r="B25" s="189" t="s">
        <v>48</v>
      </c>
      <c r="C25" s="190">
        <f>SUM(C15:C17)</f>
        <v>366595</v>
      </c>
      <c r="D25" s="191">
        <f>IF(E25=0,0,E25/C25)</f>
        <v>0.1</v>
      </c>
      <c r="E25" s="182">
        <f>SUM(E15:E17)</f>
        <v>36659.5</v>
      </c>
      <c r="F25" s="192">
        <f>E25/$E$28</f>
        <v>5.3461583383656594E-3</v>
      </c>
      <c r="G25" s="3"/>
      <c r="H25" s="189" t="s">
        <v>49</v>
      </c>
      <c r="I25" s="174">
        <f>E28/I28</f>
        <v>1.9498263624780305</v>
      </c>
    </row>
    <row r="26" spans="2:10" ht="15" customHeight="1" x14ac:dyDescent="0.35">
      <c r="B26" s="189" t="s">
        <v>50</v>
      </c>
      <c r="C26" s="190">
        <f>C18+C19+C20</f>
        <v>9672256</v>
      </c>
      <c r="D26" s="191">
        <f>IF(E26=0,0,E26/C26)</f>
        <v>0.5</v>
      </c>
      <c r="E26" s="182">
        <f>E18+E19+E20</f>
        <v>4836128</v>
      </c>
      <c r="F26" s="192">
        <f>E26/$E$28</f>
        <v>0.70526619382707456</v>
      </c>
      <c r="G26" s="3"/>
      <c r="H26" s="189" t="s">
        <v>51</v>
      </c>
      <c r="I26" s="174">
        <f>E24/($I$28-I22)</f>
        <v>1.1412757898271177</v>
      </c>
      <c r="J26" s="193" t="str">
        <f>IF(I26&lt;1,"Liquidity Problem!","")</f>
        <v/>
      </c>
    </row>
    <row r="27" spans="2:10" ht="15" customHeight="1" x14ac:dyDescent="0.35">
      <c r="B27" s="189" t="s">
        <v>52</v>
      </c>
      <c r="C27" s="102">
        <f>C21+C22</f>
        <v>29465</v>
      </c>
      <c r="D27" s="191">
        <f>IF(E27=0,0,E27/C27)</f>
        <v>0.9</v>
      </c>
      <c r="E27" s="182">
        <f>E21+E22</f>
        <v>26518.5</v>
      </c>
      <c r="F27" s="192">
        <f>E27/$E$28</f>
        <v>3.8672676903926603E-3</v>
      </c>
      <c r="G27" s="3"/>
      <c r="H27" s="189" t="s">
        <v>53</v>
      </c>
      <c r="I27" s="174">
        <f>(E25+E24)/$I$28</f>
        <v>0.56713924469597299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15</v>
      </c>
      <c r="C28" s="195">
        <f>SUM(C11:C22)</f>
        <v>12332308</v>
      </c>
      <c r="D28" s="196">
        <f>E28/C28</f>
        <v>0.55603273126165842</v>
      </c>
      <c r="E28" s="197">
        <f>SUM(E24:E27)</f>
        <v>6857166.9000000004</v>
      </c>
      <c r="F28" s="92"/>
      <c r="G28" s="3"/>
      <c r="H28" s="194" t="s">
        <v>16</v>
      </c>
      <c r="I28" s="167">
        <f>Inputs!C77</f>
        <v>3516809</v>
      </c>
      <c r="J28" s="198">
        <f>IF(J26="",1,0)+IF(J27="",1,0)+IF(J46="",1,0)+IF(J47="",1,0)</f>
        <v>2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319420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103050</v>
      </c>
      <c r="D34" s="264">
        <f>Inputs!D64</f>
        <v>0.4</v>
      </c>
      <c r="E34" s="182">
        <f t="shared" si="1"/>
        <v>41220</v>
      </c>
      <c r="F34" s="266"/>
      <c r="G34" s="3"/>
      <c r="H34" s="2" t="s">
        <v>71</v>
      </c>
      <c r="I34" s="186">
        <f>SUM(I30:I33)</f>
        <v>319420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925726</v>
      </c>
      <c r="D36" s="264">
        <f>Inputs!D66</f>
        <v>0.2</v>
      </c>
      <c r="E36" s="182">
        <f t="shared" si="1"/>
        <v>185145.2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2522337</v>
      </c>
      <c r="D38" s="264">
        <f>Inputs!D68</f>
        <v>0.1</v>
      </c>
      <c r="E38" s="182">
        <f t="shared" si="1"/>
        <v>252233.7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538321</v>
      </c>
      <c r="D40" s="264">
        <f>Inputs!D70</f>
        <v>0.05</v>
      </c>
      <c r="E40" s="182">
        <f t="shared" si="1"/>
        <v>26916.050000000003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154648</v>
      </c>
      <c r="D41" s="264">
        <f>Inputs!D71</f>
        <v>0.9</v>
      </c>
      <c r="E41" s="182">
        <f t="shared" si="1"/>
        <v>139183.20000000001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277674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153937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103050</v>
      </c>
      <c r="D45" s="191">
        <f>IF(E45=0,0,E45/C45)</f>
        <v>0.4</v>
      </c>
      <c r="E45" s="182">
        <f>SUM(E32:E35)</f>
        <v>41220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3448063</v>
      </c>
      <c r="D46" s="191">
        <f>IF(E46=0,0,E46/C46)</f>
        <v>0.12684771130921912</v>
      </c>
      <c r="E46" s="182">
        <f>E36+E37+E38+E39</f>
        <v>437378.9</v>
      </c>
      <c r="F46" s="3"/>
      <c r="G46" s="3"/>
      <c r="H46" s="189" t="s">
        <v>74</v>
      </c>
      <c r="I46" s="174">
        <f>(E44+E24)/E64</f>
        <v>0.96213068609017949</v>
      </c>
      <c r="J46" s="193" t="str">
        <f>IF(I46&lt;1,"Liquidity Problem!","")</f>
        <v>Liquidity Problem!</v>
      </c>
    </row>
    <row r="47" spans="2:10" ht="15" customHeight="1" x14ac:dyDescent="0.35">
      <c r="B47" s="189" t="s">
        <v>75</v>
      </c>
      <c r="C47" s="190">
        <f>C40+C41+C42</f>
        <v>970643</v>
      </c>
      <c r="D47" s="191">
        <f>IF(E47=0,0,E47/C47)</f>
        <v>0.17112290512577744</v>
      </c>
      <c r="E47" s="182">
        <f>E40+E41+E42</f>
        <v>166099.25</v>
      </c>
      <c r="F47" s="3"/>
      <c r="G47" s="3"/>
      <c r="H47" s="189" t="s">
        <v>76</v>
      </c>
      <c r="I47" s="174">
        <f>(E44+E45+E24+E25)/$I$49</f>
        <v>0.51018940064147711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77</v>
      </c>
      <c r="C48" s="200">
        <f>SUM(C30:C42)</f>
        <v>4521756</v>
      </c>
      <c r="D48" s="201">
        <f>E48/C48</f>
        <v>0.1425769435590952</v>
      </c>
      <c r="E48" s="202">
        <f>SUM(E30:E42)</f>
        <v>644698.15</v>
      </c>
      <c r="F48" s="3"/>
      <c r="G48" s="3"/>
      <c r="H48" s="96" t="s">
        <v>78</v>
      </c>
      <c r="I48" s="203">
        <f>I49-I28</f>
        <v>473357</v>
      </c>
      <c r="J48" s="193"/>
    </row>
    <row r="49" spans="2:11" ht="15" customHeight="1" thickTop="1" x14ac:dyDescent="0.35">
      <c r="B49" s="9" t="s">
        <v>14</v>
      </c>
      <c r="C49" s="190">
        <f>Inputs!C41+Inputs!C37</f>
        <v>16854064</v>
      </c>
      <c r="D49" s="176">
        <f>E49/C49</f>
        <v>0.44510718898421181</v>
      </c>
      <c r="E49" s="182">
        <f>E28+E48</f>
        <v>7501865.0500000007</v>
      </c>
      <c r="F49" s="3"/>
      <c r="G49" s="3"/>
      <c r="H49" s="9" t="s">
        <v>79</v>
      </c>
      <c r="I49" s="181">
        <f>Inputs!C37</f>
        <v>3990166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2034922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925726</v>
      </c>
      <c r="D61" s="176">
        <f t="shared" ref="D61:D70" si="2">IF(E61=0,0,E61/C61)</f>
        <v>0.2</v>
      </c>
      <c r="E61" s="188">
        <f>E14+E15+(E19*G19)+(E20*G20)+E31+E32+(E35*G35)+(E36*G36)+(E37*G37)</f>
        <v>185145.2</v>
      </c>
      <c r="F61" s="3"/>
      <c r="G61" s="3"/>
      <c r="H61" s="2" t="s">
        <v>257</v>
      </c>
      <c r="I61" s="209">
        <f>C99*Data!$C$4/Common_Shares</f>
        <v>-8.7513222655769218E-2</v>
      </c>
      <c r="K61" s="178"/>
    </row>
    <row r="62" spans="2:11" ht="11.65" x14ac:dyDescent="0.35">
      <c r="B62" s="12" t="s">
        <v>130</v>
      </c>
      <c r="C62" s="210">
        <f>C11+C30</f>
        <v>1998219</v>
      </c>
      <c r="D62" s="211">
        <f t="shared" si="2"/>
        <v>0.9</v>
      </c>
      <c r="E62" s="212">
        <f>E11+E30</f>
        <v>1798397.1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2923945</v>
      </c>
      <c r="D63" s="34">
        <f t="shared" si="2"/>
        <v>0.67837879987482663</v>
      </c>
      <c r="E63" s="190">
        <f>E61+E62</f>
        <v>1983542.3</v>
      </c>
      <c r="F63" s="3"/>
      <c r="G63" s="3"/>
      <c r="H63" s="2" t="s">
        <v>258</v>
      </c>
      <c r="I63" s="213">
        <f>IF(I61&gt;0,FV(I62,D93,0,-I61),I61)</f>
        <v>-8.7513222655769218E-2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2034922</v>
      </c>
      <c r="F64" s="3"/>
      <c r="G64" s="3"/>
      <c r="H64" s="2" t="s">
        <v>259</v>
      </c>
      <c r="I64" s="213">
        <f>IF(I61&gt;0,PV(C94,D93,0,-I63),I61)</f>
        <v>-8.7513222655769218E-2</v>
      </c>
      <c r="K64" s="178"/>
    </row>
    <row r="65" spans="1:11" ht="12" thickTop="1" x14ac:dyDescent="0.35">
      <c r="B65" s="9" t="s">
        <v>133</v>
      </c>
      <c r="C65" s="208">
        <f>C63-E64</f>
        <v>889023</v>
      </c>
      <c r="D65" s="34">
        <f t="shared" si="2"/>
        <v>-5.7793442914300254E-2</v>
      </c>
      <c r="E65" s="190">
        <f>E63-E64</f>
        <v>-51379.699999999953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13930119</v>
      </c>
      <c r="D68" s="34">
        <f t="shared" si="2"/>
        <v>0.39614325979555531</v>
      </c>
      <c r="E68" s="208">
        <f>E49-E63</f>
        <v>5518322.7500000009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1955244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11974875</v>
      </c>
      <c r="D70" s="34">
        <f t="shared" si="2"/>
        <v>0.29754621655758418</v>
      </c>
      <c r="E70" s="208">
        <f>E68-E69</f>
        <v>3563078.7500000009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45382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15325962</v>
      </c>
      <c r="D74" s="103"/>
      <c r="E74" s="262">
        <f>Inputs!E91</f>
        <v>12260769.600000001</v>
      </c>
      <c r="F74" s="103"/>
      <c r="H74" s="262">
        <f>Inputs!F91</f>
        <v>13793365.800000001</v>
      </c>
      <c r="I74" s="103"/>
      <c r="K74" s="75"/>
    </row>
    <row r="75" spans="1:11" ht="15" customHeight="1" x14ac:dyDescent="0.35">
      <c r="B75" s="105" t="s">
        <v>98</v>
      </c>
      <c r="C75" s="102">
        <f>Data!C8</f>
        <v>11151623</v>
      </c>
      <c r="D75" s="106">
        <f>C75/$C$74</f>
        <v>0.72762956087193742</v>
      </c>
      <c r="E75" s="262">
        <f>Inputs!E92</f>
        <v>8921298.4000000004</v>
      </c>
      <c r="F75" s="217">
        <f>E75/E74</f>
        <v>0.72762956087193742</v>
      </c>
      <c r="H75" s="262">
        <f>Inputs!F92</f>
        <v>10036460.700000001</v>
      </c>
      <c r="I75" s="217">
        <f>H75/$H$74</f>
        <v>0.72762956087193753</v>
      </c>
      <c r="K75" s="75"/>
    </row>
    <row r="76" spans="1:11" ht="15" customHeight="1" x14ac:dyDescent="0.35">
      <c r="B76" s="12" t="s">
        <v>88</v>
      </c>
      <c r="C76" s="150">
        <f>C74-C75</f>
        <v>4174339</v>
      </c>
      <c r="D76" s="218"/>
      <c r="E76" s="219">
        <f>E74-E75</f>
        <v>3339471.2000000011</v>
      </c>
      <c r="F76" s="218"/>
      <c r="H76" s="219">
        <f>H74-H75</f>
        <v>3756905.0999999996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2297566</v>
      </c>
      <c r="D77" s="106">
        <f>C77/$C$74</f>
        <v>0.14991333007350532</v>
      </c>
      <c r="E77" s="262">
        <f>Inputs!E93</f>
        <v>2027931.2918400001</v>
      </c>
      <c r="F77" s="217">
        <f>E77/E74</f>
        <v>0.16539999999999999</v>
      </c>
      <c r="H77" s="262">
        <f>Inputs!F93</f>
        <v>2281422.7033199999</v>
      </c>
      <c r="I77" s="217">
        <f>H77/$H$74</f>
        <v>0.16539999999999999</v>
      </c>
      <c r="K77" s="75"/>
    </row>
    <row r="78" spans="1:11" ht="15" customHeight="1" x14ac:dyDescent="0.35">
      <c r="B78" s="98" t="s">
        <v>153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206</v>
      </c>
      <c r="C79" s="222">
        <f>C76-C77-C78</f>
        <v>1876773</v>
      </c>
      <c r="D79" s="223">
        <f>C79/C74</f>
        <v>0.12245710905455723</v>
      </c>
      <c r="E79" s="224">
        <f>E76-E77-E78</f>
        <v>1311539.908160001</v>
      </c>
      <c r="F79" s="223">
        <f>E79/E74</f>
        <v>0.10697043912806263</v>
      </c>
      <c r="G79" s="225"/>
      <c r="H79" s="224">
        <f>H76-H77-H78</f>
        <v>1475482.3966799998</v>
      </c>
      <c r="I79" s="223">
        <f>H79/H74</f>
        <v>0.10697043912806255</v>
      </c>
      <c r="K79" s="75"/>
    </row>
    <row r="80" spans="1:11" ht="15" customHeight="1" x14ac:dyDescent="0.35">
      <c r="B80" s="18" t="s">
        <v>102</v>
      </c>
      <c r="C80" s="102">
        <f>MAX(Data!C16,0)</f>
        <v>626583</v>
      </c>
      <c r="D80" s="106">
        <f>C80/$C$74</f>
        <v>4.0883763120383568E-2</v>
      </c>
      <c r="E80" s="220">
        <f>E74*F80</f>
        <v>245215.39199999999</v>
      </c>
      <c r="F80" s="217">
        <f>I80</f>
        <v>1.9999999999999997E-2</v>
      </c>
      <c r="H80" s="262">
        <f>Inputs!F96</f>
        <v>275867.31599999999</v>
      </c>
      <c r="I80" s="217">
        <f>H80/$H$74</f>
        <v>1.9999999999999997E-2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59596</v>
      </c>
      <c r="D81" s="106">
        <f>C81/$C$74</f>
        <v>3.8885650375487034E-3</v>
      </c>
      <c r="E81" s="220">
        <f>E74*F81</f>
        <v>47676.80000000001</v>
      </c>
      <c r="F81" s="217">
        <f>I81</f>
        <v>3.8885650375487034E-3</v>
      </c>
      <c r="H81" s="262">
        <f>Inputs!F94</f>
        <v>53636.4</v>
      </c>
      <c r="I81" s="217">
        <f>H81/$H$74</f>
        <v>3.8885650375487034E-3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219833</v>
      </c>
      <c r="D82" s="106">
        <f>C82/$C$74</f>
        <v>1.4343830423173436E-2</v>
      </c>
      <c r="E82" s="262">
        <f>Inputs!E95</f>
        <v>122607.69600000001</v>
      </c>
      <c r="F82" s="217">
        <f>E82/E74</f>
        <v>0.01</v>
      </c>
      <c r="H82" s="262">
        <f>Inputs!F95</f>
        <v>137933.658</v>
      </c>
      <c r="I82" s="217">
        <f>H82/$H$74</f>
        <v>9.9999999999999985E-3</v>
      </c>
      <c r="K82" s="75"/>
    </row>
    <row r="83" spans="1:11" ht="15" customHeight="1" thickBot="1" x14ac:dyDescent="0.4">
      <c r="B83" s="227" t="s">
        <v>116</v>
      </c>
      <c r="C83" s="228">
        <f>C79-C81-C82-C80</f>
        <v>970761</v>
      </c>
      <c r="D83" s="229">
        <f>C83/$C$74</f>
        <v>6.3340950473451521E-2</v>
      </c>
      <c r="E83" s="230">
        <f>E79-E81-E82-E80</f>
        <v>896040.020160001</v>
      </c>
      <c r="F83" s="229">
        <f>E83/E74</f>
        <v>7.3081874090513935E-2</v>
      </c>
      <c r="H83" s="230">
        <f>H79-H81-H82-H80</f>
        <v>1008045.0226799998</v>
      </c>
      <c r="I83" s="229">
        <f>H83/$H$74</f>
        <v>7.3081874090513838E-2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728070.75</v>
      </c>
      <c r="D85" s="223">
        <f>C85/$C$74</f>
        <v>4.7505712855088637E-2</v>
      </c>
      <c r="E85" s="235">
        <f>E83*(1-F84)</f>
        <v>672030.01512000081</v>
      </c>
      <c r="F85" s="223">
        <f>E85/E74</f>
        <v>5.4811405567885454E-2</v>
      </c>
      <c r="G85" s="225"/>
      <c r="H85" s="235">
        <f>H83*(1-I84)</f>
        <v>756033.76700999984</v>
      </c>
      <c r="I85" s="223">
        <f>H85/$H$74</f>
        <v>5.4811405567885378E-2</v>
      </c>
      <c r="K85" s="75"/>
    </row>
    <row r="86" spans="1:11" ht="15" customHeight="1" x14ac:dyDescent="0.35">
      <c r="B86" s="3" t="s">
        <v>146</v>
      </c>
      <c r="C86" s="236">
        <f>C85*Data!C4/Common_Shares</f>
        <v>1.2400971133327547</v>
      </c>
      <c r="D86" s="103"/>
      <c r="E86" s="237">
        <f>E85*Data!C4/Common_Shares</f>
        <v>1.1446449151037597</v>
      </c>
      <c r="F86" s="103"/>
      <c r="H86" s="237">
        <f>H85*Data!C4/Common_Shares</f>
        <v>1.2877255294917278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8.7825574598637032E-2</v>
      </c>
      <c r="D87" s="103"/>
      <c r="E87" s="239">
        <f>E86*Exchange_Rate/Dashboard!G3</f>
        <v>8.106550390253256E-2</v>
      </c>
      <c r="F87" s="103"/>
      <c r="H87" s="239">
        <f>H86*Exchange_Rate/Dashboard!G3</f>
        <v>9.1198691890349001E-2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1.3599999999999999</v>
      </c>
      <c r="D88" s="241">
        <f>C88/C86</f>
        <v>1.0966883039869408</v>
      </c>
      <c r="E88" s="261">
        <f>Inputs!E98</f>
        <v>1</v>
      </c>
      <c r="F88" s="241">
        <f>E88/E86</f>
        <v>0.87363337468663993</v>
      </c>
      <c r="H88" s="261">
        <f>Inputs!F98</f>
        <v>1.1000000000000001</v>
      </c>
      <c r="I88" s="241">
        <f>H88/H86</f>
        <v>0.85421929969360477</v>
      </c>
      <c r="K88" s="75"/>
    </row>
    <row r="89" spans="1:11" ht="15" customHeight="1" x14ac:dyDescent="0.35">
      <c r="B89" s="3" t="s">
        <v>196</v>
      </c>
      <c r="C89" s="238">
        <f>C88*Exchange_Rate/Dashboard!G3</f>
        <v>9.6317280453257784E-2</v>
      </c>
      <c r="D89" s="103"/>
      <c r="E89" s="238">
        <f>E88*Exchange_Rate/Dashboard!G3</f>
        <v>7.0821529745042494E-2</v>
      </c>
      <c r="F89" s="103"/>
      <c r="H89" s="238">
        <f>H88*Exchange_Rate/Dashboard!G3</f>
        <v>7.7903682719546757E-2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HK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8.0625000000000002E-2</v>
      </c>
      <c r="D93" s="259">
        <f>Dashboard!H20</f>
        <v>3</v>
      </c>
      <c r="E93" s="3" t="s">
        <v>185</v>
      </c>
      <c r="F93" s="243">
        <f>FV(E87,D93,0,-(E86/(C93-D94)))*Exchange_Rate</f>
        <v>23.854760479828677</v>
      </c>
      <c r="H93" s="3" t="s">
        <v>185</v>
      </c>
      <c r="I93" s="243">
        <f>FV(H87,D93,0,-(H86/(C93-D94)))*Exchange_Rate</f>
        <v>27.598346581294471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20.253474230671486</v>
      </c>
      <c r="H94" s="3" t="s">
        <v>186</v>
      </c>
      <c r="I94" s="243">
        <f>FV(H89,D93,0,-(H88/(C93-D94)))*Exchange_Rate</f>
        <v>22.723791756838047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10653870.913059028</v>
      </c>
      <c r="D97" s="250"/>
      <c r="E97" s="251">
        <f>PV(C94,D93,0,-F93)</f>
        <v>15.684892236264442</v>
      </c>
      <c r="F97" s="250"/>
      <c r="H97" s="251">
        <f>PV(C94,D93,0,-I93)</f>
        <v>18.146360865484986</v>
      </c>
      <c r="I97" s="251">
        <f>PV(C93,D93,0,-I93)</f>
        <v>21.87046577907325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-51379.699999999953</v>
      </c>
      <c r="D99" s="254"/>
      <c r="E99" s="255">
        <f>IF(H99&gt;0,I64,H99)</f>
        <v>-8.7513222655769218E-2</v>
      </c>
      <c r="F99" s="254"/>
      <c r="H99" s="255">
        <f>I64</f>
        <v>-8.7513222655769218E-2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14.303896328986104</v>
      </c>
      <c r="E100" s="257">
        <f>MAX(E97+H98+E99,0)</f>
        <v>15.597379013608673</v>
      </c>
      <c r="F100" s="257">
        <f>(E100+H100)/2</f>
        <v>16.828113328218947</v>
      </c>
      <c r="H100" s="257">
        <f>MAX(H97+H98+H99,0)</f>
        <v>18.058847642829218</v>
      </c>
      <c r="I100" s="257">
        <f>MAX(I97+H98+H99,0)</f>
        <v>21.782952556417481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12.00975625524225</v>
      </c>
      <c r="E103" s="251">
        <f>PV(C94,D93,0,-F94)</f>
        <v>13.316988069809479</v>
      </c>
      <c r="F103" s="257">
        <f>(E103+H103)/2</f>
        <v>14.129125006167353</v>
      </c>
      <c r="H103" s="251">
        <f>PV(C94,D93,0,-I94)</f>
        <v>14.941261942525227</v>
      </c>
      <c r="I103" s="257">
        <f>PV(C93,D93,0,-I94)</f>
        <v>18.007597249523453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13.156826292114177</v>
      </c>
      <c r="E106" s="251">
        <f>(E100+E103)/2</f>
        <v>14.457183541709076</v>
      </c>
      <c r="F106" s="257">
        <f>(F100+F103)/2</f>
        <v>15.47861916719315</v>
      </c>
      <c r="H106" s="251">
        <f>(H100+H103)/2</f>
        <v>16.500054792677222</v>
      </c>
      <c r="I106" s="251">
        <f>(I100+I103)/2</f>
        <v>19.895274902970467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45643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