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F31005D-7673-4B81-9FFA-C7FFAF4B16D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D93" i="3"/>
  <c r="F96" i="4" l="1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<sst xmlns="http://schemas.openxmlformats.org/spreadsheetml/2006/main" count="403" uniqueCount="288">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</sst>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5091065770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286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5891068</v>
      </c>
      <c r="D25" s="80">
        <v>8214719</v>
      </c>
      <c r="E25" s="80">
        <v>7075818</v>
      </c>
      <c r="F25" s="80">
        <v>3996951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2425040</v>
      </c>
      <c r="D26" s="82">
        <v>2925125</v>
      </c>
      <c r="E26" s="82">
        <v>2681244</v>
      </c>
      <c r="F26" s="82">
        <v>2127744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415858+9934</f>
        <v>425792</v>
      </c>
      <c r="D27" s="82">
        <f>556324+118037</f>
        <v>674361</v>
      </c>
      <c r="E27" s="82">
        <v>477644</v>
      </c>
      <c r="F27" s="82">
        <v>498500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2921</v>
      </c>
      <c r="D29" s="82">
        <v>1360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346446</v>
      </c>
      <c r="D30" s="82">
        <v>457540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0.18+0.1</f>
        <v>0.28000000000000003</v>
      </c>
      <c r="D44" s="86">
        <f>0.28+0.15</f>
        <v>0.43000000000000005</v>
      </c>
      <c r="E44" s="86">
        <f>0.32+0.08</f>
        <v>0.4</v>
      </c>
      <c r="F44" s="86">
        <f>0.09+0.075</f>
        <v>0.16499999999999998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0.11200000000000002</v>
      </c>
      <c r="D45" s="87">
        <f>IF(D44="","",D44*Exchange_Rate/Dashboard!$G$3)</f>
        <v>0.17200000000000001</v>
      </c>
      <c r="E45" s="87">
        <f>IF(E44="","",E44*Exchange_Rate/Dashboard!$G$3)</f>
        <v>0.16</v>
      </c>
      <c r="F45" s="87">
        <f>IF(F44="","",F44*Exchange_Rate/Dashboard!$G$3)</f>
        <v>6.5999999999999989E-2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5891068</v>
      </c>
      <c r="D91" s="103"/>
      <c r="E91" s="104">
        <f>C91</f>
        <v>5891068</v>
      </c>
      <c r="F91" s="104">
        <f>C91</f>
        <v>5891068</v>
      </c>
    </row>
    <row r="92" spans="2:8" x14ac:dyDescent="0.35">
      <c r="B92" s="105" t="s">
        <v>98</v>
      </c>
      <c r="C92" s="102">
        <f>C26</f>
        <v>2425040</v>
      </c>
      <c r="D92" s="106">
        <f>C92/C91</f>
        <v>0.41164692038862905</v>
      </c>
      <c r="E92" s="107">
        <f>E91*D92</f>
        <v>2425040</v>
      </c>
      <c r="F92" s="107">
        <f>F91*D92</f>
        <v>2425040</v>
      </c>
    </row>
    <row r="93" spans="2:8" x14ac:dyDescent="0.35">
      <c r="B93" s="105" t="s">
        <v>219</v>
      </c>
      <c r="C93" s="102">
        <f>C27+C28</f>
        <v>425792</v>
      </c>
      <c r="D93" s="106">
        <f>C93/C91</f>
        <v>7.227755646344601E-2</v>
      </c>
      <c r="E93" s="107">
        <f>E91*D93</f>
        <v>425791.99999999994</v>
      </c>
      <c r="F93" s="107">
        <f>F91*D93</f>
        <v>425791.99999999994</v>
      </c>
    </row>
    <row r="94" spans="2:8" x14ac:dyDescent="0.35">
      <c r="B94" s="105" t="s">
        <v>225</v>
      </c>
      <c r="C94" s="102">
        <f>C29</f>
        <v>2921</v>
      </c>
      <c r="D94" s="106">
        <f>C94/C91</f>
        <v>4.9583539011941466E-4</v>
      </c>
      <c r="E94" s="108"/>
      <c r="F94" s="107">
        <f>F91*D94</f>
        <v>2921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461928</v>
      </c>
      <c r="D97" s="106">
        <f>C97/C91</f>
        <v>7.8411588526902082E-2</v>
      </c>
      <c r="E97" s="108"/>
      <c r="F97" s="107">
        <f>F91*D97</f>
        <v>461928</v>
      </c>
    </row>
    <row r="98" spans="2:6" x14ac:dyDescent="0.35">
      <c r="B98" s="8" t="s">
        <v>183</v>
      </c>
      <c r="C98" s="109">
        <f>C44</f>
        <v>0.28000000000000003</v>
      </c>
      <c r="D98" s="110"/>
      <c r="E98" s="111">
        <f>F98</f>
        <v>0.16499999999999998</v>
      </c>
      <c r="F98" s="111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0639.HK</v>
      </c>
      <c r="D3" s="316"/>
      <c r="E3" s="3"/>
      <c r="F3" s="9" t="s">
        <v>1</v>
      </c>
      <c r="G3" s="10">
        <v>2.5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首鋼資源</v>
      </c>
      <c r="D4" s="318"/>
      <c r="E4" s="3"/>
      <c r="F4" s="9" t="s">
        <v>3</v>
      </c>
      <c r="G4" s="321">
        <f>Inputs!C10</f>
        <v>5091065770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3">
        <f>G3*G4/1000000</f>
        <v>12727.664425000001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4.9583539011941466E-4</v>
      </c>
      <c r="F24" s="39" t="s">
        <v>227</v>
      </c>
      <c r="G24" s="43">
        <f>G3/(Fin_Analysis!H86*G7)</f>
        <v>6.5893860741447146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0.43489948089355107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6.5999999999999989E-2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1.6861456262138081</v>
      </c>
      <c r="D29" s="54">
        <f>G29*(1+G20)</f>
        <v>2.7069369958923986</v>
      </c>
      <c r="E29" s="3"/>
      <c r="F29" s="55">
        <f>IF(Fin_Analysis!C108="Profit",Fin_Analysis!F100,IF(Fin_Analysis!C108="Dividend",Fin_Analysis!F103,Fin_Analysis!F106))</f>
        <v>1.9837007367221273</v>
      </c>
      <c r="G29" s="312">
        <f>IF(Fin_Analysis!C108="Profit",Fin_Analysis!I100,IF(Fin_Analysis!C108="Dividend",Fin_Analysis!I103,Fin_Analysis!I106))</f>
        <v>2.353858257297738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disagree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2578308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5891068</v>
      </c>
      <c r="D6" s="147">
        <f>IF(Inputs!D25="","",Inputs!D25)</f>
        <v>8214719</v>
      </c>
      <c r="E6" s="147">
        <f>IF(Inputs!E25="","",Inputs!E25)</f>
        <v>7075818</v>
      </c>
      <c r="F6" s="147">
        <f>IF(Inputs!F25="","",Inputs!F25)</f>
        <v>3996951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-0.28286433169533853</v>
      </c>
      <c r="D7" s="148">
        <f t="shared" si="1"/>
        <v>0.16095679679720432</v>
      </c>
      <c r="E7" s="148">
        <f t="shared" si="1"/>
        <v>0.77030391415856747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2425040</v>
      </c>
      <c r="D8" s="149">
        <f>IF(Inputs!D26="","",Inputs!D26)</f>
        <v>2925125</v>
      </c>
      <c r="E8" s="149">
        <f>IF(Inputs!E26="","",Inputs!E26)</f>
        <v>2681244</v>
      </c>
      <c r="F8" s="149">
        <f>IF(Inputs!F26="","",Inputs!F26)</f>
        <v>2127744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3466028</v>
      </c>
      <c r="D9" s="279">
        <f t="shared" si="2"/>
        <v>5289594</v>
      </c>
      <c r="E9" s="279">
        <f t="shared" si="2"/>
        <v>4394574</v>
      </c>
      <c r="F9" s="279">
        <f t="shared" si="2"/>
        <v>1869207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425792</v>
      </c>
      <c r="D10" s="149">
        <f>IF(Inputs!D27="","",Inputs!D27)</f>
        <v>674361</v>
      </c>
      <c r="E10" s="149">
        <f>IF(Inputs!E27="","",Inputs!E27)</f>
        <v>477644</v>
      </c>
      <c r="F10" s="149">
        <f>IF(Inputs!F27="","",Inputs!F27)</f>
        <v>498500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461928</v>
      </c>
      <c r="D12" s="149">
        <f>IF(Inputs!D30="","",MAX(Inputs!D30,0)/(1-Fin_Analysis!$I$84))</f>
        <v>610053.33333333337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0.43766393462102288</v>
      </c>
      <c r="D13" s="300">
        <f t="shared" si="3"/>
        <v>0.48756137205261268</v>
      </c>
      <c r="E13" s="300">
        <f t="shared" si="3"/>
        <v>0.55356567961471026</v>
      </c>
      <c r="F13" s="300">
        <f t="shared" si="3"/>
        <v>0.3429381546083502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2578308</v>
      </c>
      <c r="D14" s="302">
        <f t="shared" ref="D14:M14" si="4">IF(D6="","",D9-D10-MAX(D11,0)-MAX(D12,0))</f>
        <v>4005179.6666666665</v>
      </c>
      <c r="E14" s="302">
        <f t="shared" si="4"/>
        <v>3916930</v>
      </c>
      <c r="F14" s="302">
        <f t="shared" si="4"/>
        <v>1370707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-0.35625659406540144</v>
      </c>
      <c r="D15" s="304">
        <f t="shared" ref="D15:M15" si="5">IF(E14="","",IF(ABS(D14+E14)=ABS(D14)+ABS(E14),IF(D14&lt;0,-1,1)*(D14-E14)/E14,"Turn"))</f>
        <v>2.2530314983077695E-2</v>
      </c>
      <c r="E15" s="304">
        <f t="shared" si="5"/>
        <v>1.8575983051082399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2921</v>
      </c>
      <c r="D17" s="149">
        <f>IF(Inputs!D29="","",Inputs!D29)</f>
        <v>1360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2575387</v>
      </c>
      <c r="D22" s="283">
        <f t="shared" ref="D22:M22" si="8">IF(D6="","",D14-MAX(D16,0)-MAX(D17,0)-ABS(MAX(D21,0)-MAX(D19,0)))</f>
        <v>4003819.6666666665</v>
      </c>
      <c r="E22" s="283">
        <f t="shared" si="8"/>
        <v>3916930</v>
      </c>
      <c r="F22" s="283">
        <f t="shared" si="8"/>
        <v>1370707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0.32787607442317762</v>
      </c>
      <c r="D23" s="148">
        <f t="shared" si="9"/>
        <v>0.36554686167597455</v>
      </c>
      <c r="E23" s="148">
        <f t="shared" si="9"/>
        <v>0.41517425971103272</v>
      </c>
      <c r="F23" s="148">
        <f t="shared" si="9"/>
        <v>0.25720361595626268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1931540.25</v>
      </c>
      <c r="D24" s="282">
        <f>IF(D6="","",D22*(1-Fin_Analysis!$I$84))</f>
        <v>3002864.75</v>
      </c>
      <c r="E24" s="282">
        <f>IF(E6="","",E22*(1-Fin_Analysis!$I$84))</f>
        <v>2937697.5</v>
      </c>
      <c r="F24" s="282">
        <f>IF(F6="","",F22*(1-Fin_Analysis!$I$84))</f>
        <v>1028030.25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-0.35676748345059495</v>
      </c>
      <c r="D25" s="152">
        <f t="shared" ref="D25:M25" si="10">IF(E24="","",IF(ABS(D24+E24)=ABS(D24)+ABS(E24),IF(D24&lt;0,-1,1)*(D24-E24)/E24,"Turn"))</f>
        <v>2.2183104284903398E-2</v>
      </c>
      <c r="E25" s="152">
        <f t="shared" si="10"/>
        <v>1.8575983051082399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0.41164692038862905</v>
      </c>
      <c r="D40" s="156">
        <f t="shared" si="34"/>
        <v>0.35608339128824734</v>
      </c>
      <c r="E40" s="156">
        <f t="shared" si="34"/>
        <v>0.37893060562043851</v>
      </c>
      <c r="F40" s="156">
        <f t="shared" si="34"/>
        <v>0.53234177751991452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0.43716809923090344</v>
      </c>
      <c r="D46" s="289">
        <f t="shared" si="40"/>
        <v>0.48739581556796607</v>
      </c>
      <c r="E46" s="289">
        <f t="shared" si="40"/>
        <v>0.55356567961471026</v>
      </c>
      <c r="F46" s="289">
        <f t="shared" si="40"/>
        <v>0.3429381546083502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5891068</v>
      </c>
      <c r="D74" s="103"/>
      <c r="E74" s="262">
        <f>Inputs!E91</f>
        <v>5891068</v>
      </c>
      <c r="F74" s="103"/>
      <c r="H74" s="262">
        <f>Inputs!F91</f>
        <v>5891068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2425040</v>
      </c>
      <c r="D75" s="106">
        <f>C75/$C$74</f>
        <v>0.41164692038862905</v>
      </c>
      <c r="E75" s="262">
        <f>Inputs!E92</f>
        <v>2425040</v>
      </c>
      <c r="F75" s="217">
        <f>E75/E74</f>
        <v>0.41164692038862905</v>
      </c>
      <c r="H75" s="262">
        <f>Inputs!F92</f>
        <v>2425040</v>
      </c>
      <c r="I75" s="217">
        <f>H75/$H$74</f>
        <v>0.41164692038862905</v>
      </c>
      <c r="K75" s="75"/>
    </row>
    <row r="76" spans="1:11" ht="15" customHeight="1" x14ac:dyDescent="0.35">
      <c r="B76" s="12" t="s">
        <v>88</v>
      </c>
      <c r="C76" s="150">
        <f>C74-C75</f>
        <v>3466028</v>
      </c>
      <c r="D76" s="218"/>
      <c r="E76" s="219">
        <f>E74-E75</f>
        <v>3466028</v>
      </c>
      <c r="F76" s="218"/>
      <c r="H76" s="219">
        <f>H74-H75</f>
        <v>3466028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425792</v>
      </c>
      <c r="D77" s="106">
        <f>C77/$C$74</f>
        <v>7.227755646344601E-2</v>
      </c>
      <c r="E77" s="262">
        <f>Inputs!E93</f>
        <v>425791.99999999994</v>
      </c>
      <c r="F77" s="217">
        <f>E77/E74</f>
        <v>7.227755646344601E-2</v>
      </c>
      <c r="H77" s="262">
        <f>Inputs!F93</f>
        <v>425791.99999999994</v>
      </c>
      <c r="I77" s="217">
        <f>H77/$H$74</f>
        <v>7.227755646344601E-2</v>
      </c>
      <c r="K77" s="75"/>
    </row>
    <row r="78" spans="1:11" ht="15" customHeight="1" x14ac:dyDescent="0.35">
      <c r="B78" s="98" t="s">
        <v>153</v>
      </c>
      <c r="C78" s="102">
        <f>MAX(Data!C12,0)</f>
        <v>461928</v>
      </c>
      <c r="D78" s="106">
        <f>C78/$C$74</f>
        <v>7.8411588526902082E-2</v>
      </c>
      <c r="E78" s="220">
        <f>E74*F78</f>
        <v>461928</v>
      </c>
      <c r="F78" s="217">
        <f>I78</f>
        <v>7.8411588526902082E-2</v>
      </c>
      <c r="H78" s="262">
        <f>Inputs!F97</f>
        <v>461928</v>
      </c>
      <c r="I78" s="217">
        <f>H78/$H$74</f>
        <v>7.8411588526902082E-2</v>
      </c>
      <c r="K78" s="75"/>
    </row>
    <row r="79" spans="1:11" ht="15" customHeight="1" x14ac:dyDescent="0.35">
      <c r="B79" s="221" t="s">
        <v>206</v>
      </c>
      <c r="C79" s="222">
        <f>C76-C77-C78</f>
        <v>2578308</v>
      </c>
      <c r="D79" s="223">
        <f>C79/C74</f>
        <v>0.43766393462102288</v>
      </c>
      <c r="E79" s="224">
        <f>E76-E77-E78</f>
        <v>2578308</v>
      </c>
      <c r="F79" s="223">
        <f>E79/E74</f>
        <v>0.43766393462102288</v>
      </c>
      <c r="G79" s="225"/>
      <c r="H79" s="224">
        <f>H76-H77-H78</f>
        <v>2578308</v>
      </c>
      <c r="I79" s="223">
        <f>H79/H74</f>
        <v>0.43766393462102288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2921</v>
      </c>
      <c r="D81" s="106">
        <f>C81/$C$74</f>
        <v>4.9583539011941466E-4</v>
      </c>
      <c r="E81" s="220">
        <f>E74*F81</f>
        <v>2921</v>
      </c>
      <c r="F81" s="217">
        <f>I81</f>
        <v>4.9583539011941466E-4</v>
      </c>
      <c r="H81" s="262">
        <f>Inputs!F94</f>
        <v>2921</v>
      </c>
      <c r="I81" s="217">
        <f>H81/$H$74</f>
        <v>4.9583539011941466E-4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2575387</v>
      </c>
      <c r="D83" s="229">
        <f>C83/$C$74</f>
        <v>0.43716809923090344</v>
      </c>
      <c r="E83" s="230">
        <f>E79-E81-E82-E80</f>
        <v>2575387</v>
      </c>
      <c r="F83" s="229">
        <f>E83/E74</f>
        <v>0.43716809923090344</v>
      </c>
      <c r="H83" s="230">
        <f>H79-H81-H82-H80</f>
        <v>2575387</v>
      </c>
      <c r="I83" s="229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1931540.25</v>
      </c>
      <c r="D85" s="223">
        <f>C85/$C$74</f>
        <v>0.32787607442317762</v>
      </c>
      <c r="E85" s="235">
        <f>E83*(1-F84)</f>
        <v>1931540.25</v>
      </c>
      <c r="F85" s="223">
        <f>E85/E74</f>
        <v>0.32787607442317762</v>
      </c>
      <c r="G85" s="225"/>
      <c r="H85" s="235">
        <f>H83*(1-I84)</f>
        <v>1931540.25</v>
      </c>
      <c r="I85" s="223">
        <f>H85/$H$74</f>
        <v>0.32787607442317762</v>
      </c>
      <c r="K85" s="75"/>
    </row>
    <row r="86" spans="1:11" ht="15" customHeight="1" x14ac:dyDescent="0.35">
      <c r="B86" s="3" t="s">
        <v>146</v>
      </c>
      <c r="C86" s="236">
        <f>C85*Data!C4/Common_Shares</f>
        <v>0.37939801551611069</v>
      </c>
      <c r="D86" s="103"/>
      <c r="E86" s="237">
        <f>E85*Data!C4/Common_Shares</f>
        <v>0.37939801551611069</v>
      </c>
      <c r="F86" s="103"/>
      <c r="H86" s="237">
        <f>H85*Data!C4/Common_Shares</f>
        <v>0.37939801551611069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0.15175920620644429</v>
      </c>
      <c r="D87" s="103"/>
      <c r="E87" s="239">
        <f>E86*Exchange_Rate/Dashboard!G3</f>
        <v>0.15175920620644429</v>
      </c>
      <c r="F87" s="103"/>
      <c r="H87" s="239">
        <f>H86*Exchange_Rate/Dashboard!G3</f>
        <v>0.15175920620644429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0.28000000000000003</v>
      </c>
      <c r="D88" s="241">
        <f>C88/C86</f>
        <v>0.73801124030420806</v>
      </c>
      <c r="E88" s="261">
        <f>Inputs!E98</f>
        <v>0.16499999999999998</v>
      </c>
      <c r="F88" s="241">
        <f>E88/E86</f>
        <v>0.43489948089355107</v>
      </c>
      <c r="H88" s="261">
        <f>Inputs!F98</f>
        <v>0.16499999999999998</v>
      </c>
      <c r="I88" s="241">
        <f>H88/H86</f>
        <v>0.43489948089355107</v>
      </c>
      <c r="K88" s="75"/>
    </row>
    <row r="89" spans="1:11" ht="15" customHeight="1" x14ac:dyDescent="0.35">
      <c r="B89" s="3" t="s">
        <v>196</v>
      </c>
      <c r="C89" s="238">
        <f>C88*Exchange_Rate/Dashboard!G3</f>
        <v>0.11200000000000002</v>
      </c>
      <c r="D89" s="103"/>
      <c r="E89" s="238">
        <f>E88*Exchange_Rate/Dashboard!G3</f>
        <v>6.5999999999999989E-2</v>
      </c>
      <c r="F89" s="103"/>
      <c r="H89" s="238">
        <f>H88*Exchange_Rate/Dashboard!G3</f>
        <v>6.5999999999999989E-2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8.7497218924268818</v>
      </c>
      <c r="H93" s="3" t="s">
        <v>185</v>
      </c>
      <c r="I93" s="243">
        <f>FV(H87,D93,0,-(H86/(C93-D94)))*Exchange_Rate</f>
        <v>8.7497218924268818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3.0169608579622644</v>
      </c>
      <c r="H94" s="3" t="s">
        <v>186</v>
      </c>
      <c r="I94" s="243">
        <f>FV(H89,D93,0,-(H88/(C93-D94)))*Exchange_Rate</f>
        <v>3.0169608579622644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29289329.907818943</v>
      </c>
      <c r="D97" s="250"/>
      <c r="E97" s="251">
        <f>PV(C94,D93,0,-F93)</f>
        <v>5.7530841735362106</v>
      </c>
      <c r="F97" s="250"/>
      <c r="H97" s="251">
        <f>PV(C94,D93,0,-I93)</f>
        <v>5.7530841735362106</v>
      </c>
      <c r="I97" s="251">
        <f>PV(C93,D93,0,-I93)</f>
        <v>6.8266066731335133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4.8901215475057791</v>
      </c>
      <c r="E100" s="257">
        <f>MAX(E97+H98+E99,0)</f>
        <v>5.7530841735362106</v>
      </c>
      <c r="F100" s="257">
        <f>(E100+H100)/2</f>
        <v>5.7530841735362106</v>
      </c>
      <c r="H100" s="257">
        <f>MAX(H97+H98+H99,0)</f>
        <v>5.7530841735362106</v>
      </c>
      <c r="I100" s="257">
        <f>MAX(I97+H98+H99,0)</f>
        <v>6.8266066731335133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1.6861456262138081</v>
      </c>
      <c r="E103" s="251">
        <f>PV(C94,D93,0,-F94)</f>
        <v>1.9837007367221273</v>
      </c>
      <c r="F103" s="257">
        <f>(E103+H103)/2</f>
        <v>1.9837007367221273</v>
      </c>
      <c r="H103" s="251">
        <f>PV(C94,D93,0,-I94)</f>
        <v>1.9837007367221273</v>
      </c>
      <c r="I103" s="257">
        <f>PV(C93,D93,0,-I94)</f>
        <v>2.353858257297738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3.2881335868597938</v>
      </c>
      <c r="E106" s="251">
        <f>(E100+E103)/2</f>
        <v>3.8683924551291691</v>
      </c>
      <c r="F106" s="257">
        <f>(F100+F103)/2</f>
        <v>3.8683924551291691</v>
      </c>
      <c r="H106" s="251">
        <f>(H100+H103)/2</f>
        <v>3.8683924551291691</v>
      </c>
      <c r="I106" s="251">
        <f>(I100+I103)/2</f>
        <v>4.5902324652156254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