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DCFF2D-CB89-4491-9925-BCDDCFBF37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5" i="4"/>
  <c r="D50" i="4"/>
  <c r="D56" i="4" s="1"/>
  <c r="C50" i="4"/>
  <c r="D93" i="3"/>
  <c r="F96" i="4" l="1"/>
  <c r="E92" i="4"/>
  <c r="F97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<sst xmlns="http://schemas.openxmlformats.org/spreadsheetml/2006/main" count="403" uniqueCount="286">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</sst>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284</v>
      </c>
    </row>
    <row r="10" spans="1:5" x14ac:dyDescent="0.35">
      <c r="B10" s="39" t="s">
        <v>193</v>
      </c>
      <c r="C10" s="70">
        <v>1451305728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13089628</v>
      </c>
      <c r="D25" s="80">
        <v>14590475</v>
      </c>
      <c r="E25" s="80">
        <v>15326764</v>
      </c>
      <c r="F25" s="80">
        <v>14526102</v>
      </c>
      <c r="G25" s="80">
        <v>18025422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6368352</v>
      </c>
      <c r="D26" s="82">
        <v>7605791</v>
      </c>
      <c r="E26" s="82">
        <v>6583757</v>
      </c>
      <c r="F26" s="82">
        <v>6139239</v>
      </c>
      <c r="G26" s="82">
        <v>9041440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1783204</v>
      </c>
      <c r="D27" s="82">
        <v>1720023</v>
      </c>
      <c r="E27" s="82">
        <v>2003343</v>
      </c>
      <c r="F27" s="82">
        <v>1613699</v>
      </c>
      <c r="G27" s="82">
        <v>1602120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599686</v>
      </c>
      <c r="D29" s="82">
        <v>317225</v>
      </c>
      <c r="E29" s="82">
        <v>562656</v>
      </c>
      <c r="F29" s="82">
        <v>781715</v>
      </c>
      <c r="G29" s="82">
        <v>812565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920459</v>
      </c>
      <c r="D30" s="82">
        <v>720106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52019578</v>
      </c>
      <c r="F34" s="82">
        <v>46824778</v>
      </c>
      <c r="G34" s="82">
        <v>30542596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87275561</v>
      </c>
      <c r="D37" s="82"/>
      <c r="E37" s="82">
        <v>22442764</v>
      </c>
      <c r="F37" s="82">
        <v>20617000</v>
      </c>
      <c r="G37" s="82">
        <v>19835482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5316310</v>
      </c>
      <c r="F39" s="82">
        <v>6964787</v>
      </c>
      <c r="G39" s="82">
        <v>8544578</v>
      </c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32210595</v>
      </c>
      <c r="F40" s="82">
        <v>37670707</v>
      </c>
      <c r="G40" s="82">
        <v>31147279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121156821</v>
      </c>
      <c r="D41" s="82"/>
      <c r="E41" s="82">
        <v>132313126</v>
      </c>
      <c r="F41" s="82">
        <v>124656340</v>
      </c>
      <c r="G41" s="82">
        <v>115383027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13900241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1.3499962549695244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8.7209060398548088E-2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13539631</v>
      </c>
      <c r="D48" s="114">
        <v>0.9</v>
      </c>
      <c r="E48" s="266"/>
    </row>
    <row r="49" spans="2:5" x14ac:dyDescent="0.35">
      <c r="B49" s="2" t="s">
        <v>126</v>
      </c>
      <c r="C49" s="91">
        <v>305449</v>
      </c>
      <c r="D49" s="114">
        <v>0.8</v>
      </c>
      <c r="E49" s="266"/>
    </row>
    <row r="50" spans="2:5" x14ac:dyDescent="0.35">
      <c r="B50" s="9" t="s">
        <v>108</v>
      </c>
      <c r="C50" s="91">
        <f>1787467+193156</f>
        <v>1980623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>
        <v>5889</v>
      </c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18623682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>
        <v>23436237</v>
      </c>
      <c r="D57" s="114">
        <v>0.6</v>
      </c>
      <c r="E57" s="267" t="s">
        <v>39</v>
      </c>
    </row>
    <row r="58" spans="2:5" x14ac:dyDescent="0.35">
      <c r="B58" s="9" t="s">
        <v>43</v>
      </c>
      <c r="C58" s="91">
        <f>325570+189255</f>
        <v>514825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f>758168+650701</f>
        <v>1408869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>
        <v>582318</v>
      </c>
      <c r="D63" s="114">
        <f>D62</f>
        <v>0.5</v>
      </c>
      <c r="E63" s="266"/>
    </row>
    <row r="64" spans="2:5" x14ac:dyDescent="0.35">
      <c r="B64" s="9" t="s">
        <v>228</v>
      </c>
      <c r="C64" s="91">
        <v>898512</v>
      </c>
      <c r="D64" s="114">
        <v>0.4</v>
      </c>
      <c r="E64" s="266"/>
    </row>
    <row r="65" spans="2:5" x14ac:dyDescent="0.35">
      <c r="B65" s="9" t="s">
        <v>63</v>
      </c>
      <c r="C65" s="91">
        <v>24823141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76964829</v>
      </c>
      <c r="D66" s="114">
        <v>0.3</v>
      </c>
      <c r="E66" s="267" t="s">
        <v>39</v>
      </c>
    </row>
    <row r="67" spans="2:5" x14ac:dyDescent="0.35">
      <c r="B67" s="2" t="s">
        <v>42</v>
      </c>
      <c r="C67" s="91">
        <v>39222688</v>
      </c>
      <c r="D67" s="114">
        <v>0.2</v>
      </c>
      <c r="E67" s="267" t="s">
        <v>39</v>
      </c>
    </row>
    <row r="68" spans="2:5" x14ac:dyDescent="0.35">
      <c r="B68" s="9" t="s">
        <v>110</v>
      </c>
      <c r="C68" s="91">
        <f>4323428+1679757</f>
        <v>6003185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122504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>
        <v>6636214</v>
      </c>
    </row>
    <row r="74" spans="2:5" x14ac:dyDescent="0.35">
      <c r="B74" s="9" t="s">
        <v>33</v>
      </c>
      <c r="C74" s="91">
        <v>43646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114041</v>
      </c>
    </row>
    <row r="77" spans="2:5" ht="12" thickBot="1" x14ac:dyDescent="0.4">
      <c r="B77" s="96" t="s">
        <v>16</v>
      </c>
      <c r="C77" s="97">
        <v>25845852</v>
      </c>
    </row>
    <row r="78" spans="2:5" ht="12" thickTop="1" x14ac:dyDescent="0.35">
      <c r="B78" s="9" t="s">
        <v>55</v>
      </c>
      <c r="C78" s="91">
        <f>48494864+2237084</f>
        <v>50731948</v>
      </c>
    </row>
    <row r="79" spans="2:5" x14ac:dyDescent="0.35">
      <c r="B79" s="9" t="s">
        <v>57</v>
      </c>
      <c r="C79" s="91">
        <v>40529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278874</v>
      </c>
    </row>
    <row r="82" spans="2:8" ht="12" hidden="1" thickBot="1" x14ac:dyDescent="0.4">
      <c r="B82" s="96" t="s">
        <v>250</v>
      </c>
      <c r="C82" s="84">
        <v>61429709</v>
      </c>
    </row>
    <row r="83" spans="2:8" ht="12" hidden="1" thickTop="1" x14ac:dyDescent="0.35">
      <c r="B83" s="98" t="s">
        <v>251</v>
      </c>
      <c r="C83" s="84">
        <v>107256580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285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13089628</v>
      </c>
      <c r="D91" s="103"/>
      <c r="E91" s="104">
        <f>C91</f>
        <v>13089628</v>
      </c>
      <c r="F91" s="104">
        <f>C91</f>
        <v>13089628</v>
      </c>
    </row>
    <row r="92" spans="2:8" x14ac:dyDescent="0.35">
      <c r="B92" s="105" t="s">
        <v>98</v>
      </c>
      <c r="C92" s="102">
        <f>C26</f>
        <v>6368352</v>
      </c>
      <c r="D92" s="106">
        <f>C92/C91</f>
        <v>0.48651894461783024</v>
      </c>
      <c r="E92" s="107">
        <f>E91*D92</f>
        <v>6368352</v>
      </c>
      <c r="F92" s="107">
        <f>F91*D92</f>
        <v>6368352</v>
      </c>
    </row>
    <row r="93" spans="2:8" x14ac:dyDescent="0.35">
      <c r="B93" s="105" t="s">
        <v>219</v>
      </c>
      <c r="C93" s="102">
        <f>C27+C28</f>
        <v>1783204</v>
      </c>
      <c r="D93" s="106">
        <f>C93/C91</f>
        <v>0.13623030387112606</v>
      </c>
      <c r="E93" s="107">
        <f>E91*D93</f>
        <v>1783204</v>
      </c>
      <c r="F93" s="107">
        <f>F91*D93</f>
        <v>1783204</v>
      </c>
    </row>
    <row r="94" spans="2:8" x14ac:dyDescent="0.35">
      <c r="B94" s="105" t="s">
        <v>225</v>
      </c>
      <c r="C94" s="102">
        <f>C29</f>
        <v>599686</v>
      </c>
      <c r="D94" s="106">
        <f>C94/C91</f>
        <v>4.581383061459042E-2</v>
      </c>
      <c r="E94" s="108"/>
      <c r="F94" s="107">
        <f>F91*D94</f>
        <v>599686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1227278.6666666667</v>
      </c>
      <c r="D97" s="106">
        <f>C97/C91</f>
        <v>9.375962912518726E-2</v>
      </c>
      <c r="E97" s="108"/>
      <c r="F97" s="107">
        <f>F91*D97</f>
        <v>1227278.6666666667</v>
      </c>
    </row>
    <row r="98" spans="2:6" x14ac:dyDescent="0.35">
      <c r="B98" s="8" t="s">
        <v>183</v>
      </c>
      <c r="C98" s="109">
        <f>C44</f>
        <v>1.3499962549695244</v>
      </c>
      <c r="D98" s="110"/>
      <c r="E98" s="111">
        <f>F98*50%</f>
        <v>0.67499812748476218</v>
      </c>
      <c r="F98" s="111">
        <f>C98</f>
        <v>1.3499962549695244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0683.HK</v>
      </c>
      <c r="D3" s="316"/>
      <c r="E3" s="3"/>
      <c r="F3" s="9" t="s">
        <v>1</v>
      </c>
      <c r="G3" s="10">
        <v>15.48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嘉里建設</v>
      </c>
      <c r="D4" s="318"/>
      <c r="E4" s="3"/>
      <c r="F4" s="9" t="s">
        <v>3</v>
      </c>
      <c r="G4" s="321">
        <f>Inputs!C10</f>
        <v>1451305728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3">
        <f>G3*G4/1000000</f>
        <v>22466.212669440003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3.4597349023559508E-2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6.2800357000190113E-2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1.9433062475048148</v>
      </c>
      <c r="F23" s="39" t="s">
        <v>166</v>
      </c>
      <c r="G23" s="40">
        <f>G3/(Data!C34*Data!C4/Common_Shares*Exchange_Rate)</f>
        <v>0.18543085303831139</v>
      </c>
    </row>
    <row r="24" spans="1:8" ht="15.75" customHeight="1" x14ac:dyDescent="0.35">
      <c r="B24" s="41" t="s">
        <v>242</v>
      </c>
      <c r="C24" s="42">
        <f>Fin_Analysis!I81</f>
        <v>4.581383061459042E-2</v>
      </c>
      <c r="F24" s="39" t="s">
        <v>227</v>
      </c>
      <c r="G24" s="43">
        <f>G3/(Fin_Analysis!H86*G7)</f>
        <v>9.6283885499460968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0.83968271859293786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8.7209060398548088E-2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7.6143183665476837</v>
      </c>
      <c r="D29" s="54">
        <f>G29*(1+G20)</f>
        <v>23.496022102980824</v>
      </c>
      <c r="E29" s="3"/>
      <c r="F29" s="55">
        <f>IF(Fin_Analysis!C108="Profit",Fin_Analysis!F100,IF(Fin_Analysis!C108="Dividend",Fin_Analysis!F103,Fin_Analysis!F106))</f>
        <v>12.416350388397696</v>
      </c>
      <c r="G29" s="312">
        <f>IF(Fin_Analysis!C108="Profit",Fin_Analysis!I100,IF(Fin_Analysis!C108="Dividend",Fin_Analysis!I103,Fin_Analysis!I106))</f>
        <v>20.431323567809414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3710793.333333333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13089628</v>
      </c>
      <c r="D6" s="147">
        <f>IF(Inputs!D25="","",Inputs!D25)</f>
        <v>14590475</v>
      </c>
      <c r="E6" s="147">
        <f>IF(Inputs!E25="","",Inputs!E25)</f>
        <v>15326764</v>
      </c>
      <c r="F6" s="147">
        <f>IF(Inputs!F25="","",Inputs!F25)</f>
        <v>14526102</v>
      </c>
      <c r="G6" s="147">
        <f>IF(Inputs!G25="","",Inputs!G25)</f>
        <v>18025422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-0.10286484847134858</v>
      </c>
      <c r="D7" s="148">
        <f t="shared" si="1"/>
        <v>-4.8039429588659366E-2</v>
      </c>
      <c r="E7" s="148">
        <f t="shared" si="1"/>
        <v>5.511884743753015E-2</v>
      </c>
      <c r="F7" s="148">
        <f t="shared" si="1"/>
        <v>-0.19413248688435703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6368352</v>
      </c>
      <c r="D8" s="149">
        <f>IF(Inputs!D26="","",Inputs!D26)</f>
        <v>7605791</v>
      </c>
      <c r="E8" s="149">
        <f>IF(Inputs!E26="","",Inputs!E26)</f>
        <v>6583757</v>
      </c>
      <c r="F8" s="149">
        <f>IF(Inputs!F26="","",Inputs!F26)</f>
        <v>6139239</v>
      </c>
      <c r="G8" s="149">
        <f>IF(Inputs!G26="","",Inputs!G26)</f>
        <v>9041440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6721276</v>
      </c>
      <c r="D9" s="279">
        <f t="shared" si="2"/>
        <v>6984684</v>
      </c>
      <c r="E9" s="279">
        <f t="shared" si="2"/>
        <v>8743007</v>
      </c>
      <c r="F9" s="279">
        <f t="shared" si="2"/>
        <v>8386863</v>
      </c>
      <c r="G9" s="279">
        <f t="shared" si="2"/>
        <v>8983982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1783204</v>
      </c>
      <c r="D10" s="149">
        <f>IF(Inputs!D27="","",Inputs!D27)</f>
        <v>1720023</v>
      </c>
      <c r="E10" s="149">
        <f>IF(Inputs!E27="","",Inputs!E27)</f>
        <v>2003343</v>
      </c>
      <c r="F10" s="149">
        <f>IF(Inputs!F27="","",Inputs!F27)</f>
        <v>1613699</v>
      </c>
      <c r="G10" s="149">
        <f>IF(Inputs!G27="","",Inputs!G27)</f>
        <v>1602120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1227278.6666666667</v>
      </c>
      <c r="D12" s="149">
        <f>IF(Inputs!D30="","",MAX(Inputs!D30,0)/(1-Fin_Analysis!$I$84))</f>
        <v>960141.33333333337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0.28349112238585644</v>
      </c>
      <c r="D13" s="300">
        <f t="shared" si="3"/>
        <v>0.29502258608213011</v>
      </c>
      <c r="E13" s="300">
        <f t="shared" si="3"/>
        <v>0.4397317007034231</v>
      </c>
      <c r="F13" s="300">
        <f t="shared" si="3"/>
        <v>0.46627539858938066</v>
      </c>
      <c r="G13" s="300">
        <f t="shared" si="3"/>
        <v>0.40952505855341415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3710793.333333333</v>
      </c>
      <c r="D14" s="302">
        <f t="shared" ref="D14:M14" si="4">IF(D6="","",D9-D10-MAX(D11,0)-MAX(D12,0))</f>
        <v>4304519.666666667</v>
      </c>
      <c r="E14" s="302">
        <f t="shared" si="4"/>
        <v>6739664</v>
      </c>
      <c r="F14" s="302">
        <f t="shared" si="4"/>
        <v>6773164</v>
      </c>
      <c r="G14" s="302">
        <f t="shared" si="4"/>
        <v>7381862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-0.1379309143203668</v>
      </c>
      <c r="D15" s="304">
        <f t="shared" ref="D15:M15" si="5">IF(E14="","",IF(ABS(D14+E14)=ABS(D14)+ABS(E14),IF(D14&lt;0,-1,1)*(D14-E14)/E14,"Turn"))</f>
        <v>-0.36131539099476367</v>
      </c>
      <c r="E15" s="304">
        <f t="shared" si="5"/>
        <v>-4.9459897914770701E-3</v>
      </c>
      <c r="F15" s="304">
        <f t="shared" si="5"/>
        <v>-8.2458599198955498E-2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599686</v>
      </c>
      <c r="D17" s="149">
        <f>IF(Inputs!D29="","",Inputs!D29)</f>
        <v>317225</v>
      </c>
      <c r="E17" s="149">
        <f>IF(Inputs!E29="","",Inputs!E29)</f>
        <v>562656</v>
      </c>
      <c r="F17" s="149">
        <f>IF(Inputs!F29="","",Inputs!F29)</f>
        <v>781715</v>
      </c>
      <c r="G17" s="149">
        <f>IF(Inputs!G29="","",Inputs!G29)</f>
        <v>812565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3111107.333333333</v>
      </c>
      <c r="D22" s="283">
        <f t="shared" ref="D22:M22" si="8">IF(D6="","",D14-MAX(D16,0)-MAX(D17,0)-ABS(MAX(D21,0)-MAX(D19,0)))</f>
        <v>3987294.666666667</v>
      </c>
      <c r="E22" s="283">
        <f t="shared" si="8"/>
        <v>6177008</v>
      </c>
      <c r="F22" s="283">
        <f t="shared" si="8"/>
        <v>5991449</v>
      </c>
      <c r="G22" s="283">
        <f t="shared" si="8"/>
        <v>6569297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0.17825796882844952</v>
      </c>
      <c r="D23" s="148">
        <f t="shared" si="9"/>
        <v>0.20496049648829115</v>
      </c>
      <c r="E23" s="148">
        <f t="shared" si="9"/>
        <v>0.30226576203561301</v>
      </c>
      <c r="F23" s="148">
        <f t="shared" si="9"/>
        <v>0.30934566960909404</v>
      </c>
      <c r="G23" s="148">
        <f t="shared" si="9"/>
        <v>0.27333466866961559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2333330.5</v>
      </c>
      <c r="D24" s="282">
        <f>IF(D6="","",D22*(1-Fin_Analysis!$I$84))</f>
        <v>2990471</v>
      </c>
      <c r="E24" s="282">
        <f>IF(E6="","",E22*(1-Fin_Analysis!$I$84))</f>
        <v>4632756</v>
      </c>
      <c r="F24" s="282">
        <f>IF(F6="","",F22*(1-Fin_Analysis!$I$84))</f>
        <v>4493586.75</v>
      </c>
      <c r="G24" s="282">
        <f>IF(G6="","",G22*(1-Fin_Analysis!$I$84))</f>
        <v>4926972.75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-0.21974481611759486</v>
      </c>
      <c r="D25" s="152">
        <f t="shared" ref="D25:M25" si="10">IF(E24="","",IF(ABS(D24+E24)=ABS(D24)+ABS(E24),IF(D24&lt;0,-1,1)*(D24-E24)/E24,"Turn"))</f>
        <v>-0.35449417150396006</v>
      </c>
      <c r="E25" s="152">
        <f t="shared" si="10"/>
        <v>3.0970638321381021E-2</v>
      </c>
      <c r="F25" s="152">
        <f t="shared" si="10"/>
        <v>-8.7961923475221165E-2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208432382</v>
      </c>
      <c r="D27" s="153" t="str">
        <f>IF(D34="","",D34+D30)</f>
        <v/>
      </c>
      <c r="E27" s="153">
        <f t="shared" ref="E27:M27" si="20">IF(E34="","",E34+E30)</f>
        <v>154755890</v>
      </c>
      <c r="F27" s="153">
        <f t="shared" si="20"/>
        <v>145273340</v>
      </c>
      <c r="G27" s="153">
        <f t="shared" si="20"/>
        <v>135218509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1980623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18623682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87275561</v>
      </c>
      <c r="D30" s="149" t="str">
        <f>IF(Inputs!D37="","",Inputs!D37)</f>
        <v/>
      </c>
      <c r="E30" s="149">
        <f>IF(Inputs!E37="","",Inputs!E37)</f>
        <v>22442764</v>
      </c>
      <c r="F30" s="149">
        <f>IF(Inputs!F37="","",Inputs!F37)</f>
        <v>20617000</v>
      </c>
      <c r="G30" s="149">
        <f>IF(Inputs!G37="","",Inputs!G37)</f>
        <v>19835482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6793901</v>
      </c>
      <c r="D31" s="149" t="str">
        <f>IF(Inputs!D39="","",Inputs!D39)</f>
        <v/>
      </c>
      <c r="E31" s="149">
        <f>IF(Inputs!E39="","",Inputs!E39)</f>
        <v>5316310</v>
      </c>
      <c r="F31" s="149">
        <f>IF(Inputs!F39="","",Inputs!F39)</f>
        <v>6964787</v>
      </c>
      <c r="G31" s="149">
        <f>IF(Inputs!G39="","",Inputs!G39)</f>
        <v>8544578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51051351</v>
      </c>
      <c r="D32" s="149" t="str">
        <f>IF(Inputs!D40="","",Inputs!D40)</f>
        <v/>
      </c>
      <c r="E32" s="149">
        <f>IF(Inputs!E40="","",Inputs!E40)</f>
        <v>32210595</v>
      </c>
      <c r="F32" s="149">
        <f>IF(Inputs!F40="","",Inputs!F40)</f>
        <v>37670707</v>
      </c>
      <c r="G32" s="149">
        <f>IF(Inputs!G40="","",Inputs!G40)</f>
        <v>31147279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57845252</v>
      </c>
      <c r="D33" s="102" t="str">
        <f t="shared" ref="D33" si="22">IF(OR(D31="",D32=""),"",D31+D32)</f>
        <v/>
      </c>
      <c r="E33" s="102">
        <f t="shared" ref="E33" si="23">IF(OR(E31="",E32=""),"",E31+E32)</f>
        <v>37526905</v>
      </c>
      <c r="F33" s="102">
        <f t="shared" ref="F33" si="24">IF(OR(F31="",F32=""),"",F31+F32)</f>
        <v>44635494</v>
      </c>
      <c r="G33" s="102">
        <f t="shared" ref="G33" si="25">IF(OR(G31="",G32=""),"",G31+G32)</f>
        <v>39691857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121156821</v>
      </c>
      <c r="D34" s="149" t="str">
        <f>IF(Inputs!D41="","",Inputs!D41)</f>
        <v/>
      </c>
      <c r="E34" s="149">
        <f>IF(Inputs!E41="","",Inputs!E41)</f>
        <v>132313126</v>
      </c>
      <c r="F34" s="149">
        <f>IF(Inputs!F41="","",Inputs!F41)</f>
        <v>124656340</v>
      </c>
      <c r="G34" s="149">
        <f>IF(Inputs!G41="","",Inputs!G41)</f>
        <v>115383027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13900241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168660741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2.2001523954725974E-2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0.48651894461783024</v>
      </c>
      <c r="D40" s="156">
        <f t="shared" si="34"/>
        <v>0.52128467373406284</v>
      </c>
      <c r="E40" s="156">
        <f t="shared" si="34"/>
        <v>0.42955949475049005</v>
      </c>
      <c r="F40" s="156">
        <f t="shared" si="34"/>
        <v>0.42263499182368403</v>
      </c>
      <c r="G40" s="156">
        <f t="shared" si="34"/>
        <v>0.50159380457223135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0.13623030387112606</v>
      </c>
      <c r="D41" s="151">
        <f t="shared" si="35"/>
        <v>0.11788670348292293</v>
      </c>
      <c r="E41" s="151">
        <f t="shared" si="35"/>
        <v>0.13070880454608683</v>
      </c>
      <c r="F41" s="151">
        <f t="shared" si="35"/>
        <v>0.1110896095869353</v>
      </c>
      <c r="G41" s="151">
        <f t="shared" si="35"/>
        <v>8.8881136874354449E-2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4.581383061459042E-2</v>
      </c>
      <c r="D43" s="151">
        <f t="shared" si="37"/>
        <v>2.1741924097741849E-2</v>
      </c>
      <c r="E43" s="151">
        <f t="shared" si="37"/>
        <v>3.6710684655939116E-2</v>
      </c>
      <c r="F43" s="151">
        <f t="shared" si="37"/>
        <v>5.3814505777255314E-2</v>
      </c>
      <c r="G43" s="151">
        <f t="shared" si="37"/>
        <v>4.5078833660593357E-2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9.375962912518726E-2</v>
      </c>
      <c r="D44" s="151">
        <f t="shared" si="38"/>
        <v>6.5806036700884196E-2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0.23767729177126601</v>
      </c>
      <c r="D46" s="289">
        <f t="shared" si="40"/>
        <v>0.27328066198438822</v>
      </c>
      <c r="E46" s="289">
        <f t="shared" si="40"/>
        <v>0.40302101604748397</v>
      </c>
      <c r="F46" s="289">
        <f t="shared" si="40"/>
        <v>0.41246089281212539</v>
      </c>
      <c r="G46" s="289">
        <f t="shared" si="40"/>
        <v>0.3644462248928208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6.2800357000190113E-2</v>
      </c>
      <c r="D48" s="159" t="e">
        <f t="shared" si="41"/>
        <v>#VALUE!</v>
      </c>
      <c r="E48" s="159">
        <f t="shared" si="41"/>
        <v>9.9038324163300023E-2</v>
      </c>
      <c r="F48" s="159">
        <f t="shared" si="41"/>
        <v>9.9991519435018147E-2</v>
      </c>
      <c r="G48" s="159">
        <f t="shared" si="41"/>
        <v>0.13330587752598277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0.15131239787715892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1.4227816099892221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0.51458693208236717</v>
      </c>
      <c r="D53" s="156" t="str">
        <f t="shared" si="45"/>
        <v/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5.3783279107044654E-2</v>
      </c>
      <c r="D54" s="160" t="str">
        <f t="shared" si="46"/>
        <v/>
      </c>
      <c r="E54" s="160">
        <f t="shared" si="46"/>
        <v>0.16460211680126566</v>
      </c>
      <c r="F54" s="160">
        <f t="shared" si="46"/>
        <v>0.13423059684295194</v>
      </c>
      <c r="G54" s="160">
        <f t="shared" si="46"/>
        <v>0.16550742385270611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0.19275644834711586</v>
      </c>
      <c r="D55" s="151">
        <f t="shared" si="47"/>
        <v>7.9558955763155692E-2</v>
      </c>
      <c r="E55" s="151">
        <f t="shared" si="47"/>
        <v>9.108876012464287E-2</v>
      </c>
      <c r="F55" s="151">
        <f t="shared" si="47"/>
        <v>0.1304717773613695</v>
      </c>
      <c r="G55" s="151">
        <f t="shared" si="47"/>
        <v>0.12369131735100422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3.4597349023559515E-2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2.900621419528138E-2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121156821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107256580</v>
      </c>
      <c r="K3" s="75"/>
    </row>
    <row r="4" spans="1:11" ht="15" customHeight="1" x14ac:dyDescent="0.35">
      <c r="B4" s="9" t="s">
        <v>22</v>
      </c>
      <c r="C4" s="3"/>
      <c r="D4" s="149">
        <f>Inputs!C42</f>
        <v>13900241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-28198312.699999988</v>
      </c>
      <c r="E6" s="176">
        <f>1-D6/D3</f>
        <v>1.2327422630212457</v>
      </c>
      <c r="F6" s="3"/>
      <c r="G6" s="3"/>
      <c r="H6" s="2" t="s">
        <v>25</v>
      </c>
      <c r="I6" s="174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>
        <f>C24/I28</f>
        <v>0.61231113603838638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13539631</v>
      </c>
      <c r="D11" s="264">
        <f>Inputs!D48</f>
        <v>0.9</v>
      </c>
      <c r="E11" s="182">
        <f t="shared" ref="E11:E22" si="0">C11*D11</f>
        <v>12185667.9</v>
      </c>
      <c r="F11" s="266"/>
      <c r="G11" s="3"/>
      <c r="H11" s="9" t="s">
        <v>32</v>
      </c>
      <c r="I11" s="181">
        <f>Inputs!C73</f>
        <v>6636214</v>
      </c>
      <c r="J11" s="3"/>
      <c r="K11" s="75"/>
    </row>
    <row r="12" spans="1:11" ht="11.65" x14ac:dyDescent="0.35">
      <c r="B12" s="2" t="s">
        <v>126</v>
      </c>
      <c r="C12" s="181">
        <f>Inputs!C49</f>
        <v>305449</v>
      </c>
      <c r="D12" s="264">
        <f>Inputs!D49</f>
        <v>0.8</v>
      </c>
      <c r="E12" s="182">
        <f t="shared" si="0"/>
        <v>244359.2</v>
      </c>
      <c r="F12" s="266"/>
      <c r="G12" s="3"/>
      <c r="H12" s="9" t="s">
        <v>33</v>
      </c>
      <c r="I12" s="181">
        <f>Inputs!C74</f>
        <v>43646</v>
      </c>
      <c r="J12" s="3"/>
      <c r="K12" s="75"/>
    </row>
    <row r="13" spans="1:11" ht="11.65" x14ac:dyDescent="0.35">
      <c r="B13" s="9" t="s">
        <v>108</v>
      </c>
      <c r="C13" s="181">
        <f>Inputs!C50</f>
        <v>1980623</v>
      </c>
      <c r="D13" s="264">
        <f>Inputs!D50</f>
        <v>0.6</v>
      </c>
      <c r="E13" s="182">
        <f t="shared" si="0"/>
        <v>1188373.8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114041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6793901</v>
      </c>
      <c r="J15" s="3"/>
    </row>
    <row r="16" spans="1:11" ht="11.65" x14ac:dyDescent="0.35">
      <c r="B16" s="2" t="s">
        <v>144</v>
      </c>
      <c r="C16" s="181">
        <f>Inputs!C53</f>
        <v>5889</v>
      </c>
      <c r="D16" s="264">
        <f>Inputs!D53</f>
        <v>0.6</v>
      </c>
      <c r="E16" s="182">
        <f t="shared" si="0"/>
        <v>3533.4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18623682</v>
      </c>
      <c r="D18" s="264">
        <f>Inputs!D55</f>
        <v>0.5</v>
      </c>
      <c r="E18" s="182">
        <f t="shared" si="0"/>
        <v>9311841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23436237</v>
      </c>
      <c r="D20" s="264">
        <f>Inputs!D57</f>
        <v>0.6</v>
      </c>
      <c r="E20" s="182">
        <f t="shared" si="0"/>
        <v>14061742.199999999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514825</v>
      </c>
      <c r="D21" s="264">
        <f>Inputs!D58</f>
        <v>0.9</v>
      </c>
      <c r="E21" s="182">
        <f t="shared" si="0"/>
        <v>463342.5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19051951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15825703</v>
      </c>
      <c r="D24" s="191">
        <f>IF(E24=0,0,E24/C24)</f>
        <v>0.86052423074033424</v>
      </c>
      <c r="E24" s="182">
        <f>SUM(E11:E14)</f>
        <v>13618400.9</v>
      </c>
      <c r="F24" s="192">
        <f>E24/$E$28</f>
        <v>0.36355620272480266</v>
      </c>
      <c r="G24" s="3"/>
    </row>
    <row r="25" spans="2:10" ht="15" customHeight="1" x14ac:dyDescent="0.35">
      <c r="B25" s="189" t="s">
        <v>48</v>
      </c>
      <c r="C25" s="190">
        <f>SUM(C15:C17)</f>
        <v>5889</v>
      </c>
      <c r="D25" s="191">
        <f>IF(E25=0,0,E25/C25)</f>
        <v>0.6</v>
      </c>
      <c r="E25" s="182">
        <f>SUM(E15:E17)</f>
        <v>3533.4</v>
      </c>
      <c r="F25" s="192">
        <f>E25/$E$28</f>
        <v>9.4327483537940028E-5</v>
      </c>
      <c r="G25" s="3"/>
      <c r="H25" s="189" t="s">
        <v>49</v>
      </c>
      <c r="I25" s="174">
        <f>E28/I28</f>
        <v>1.4493180569168314</v>
      </c>
    </row>
    <row r="26" spans="2:10" ht="15" customHeight="1" x14ac:dyDescent="0.35">
      <c r="B26" s="189" t="s">
        <v>50</v>
      </c>
      <c r="C26" s="190">
        <f>C18+C19+C20</f>
        <v>42059919</v>
      </c>
      <c r="D26" s="191">
        <f>IF(E26=0,0,E26/C26)</f>
        <v>0.55572107021889416</v>
      </c>
      <c r="E26" s="182">
        <f>E18+E19+E20</f>
        <v>23373583.199999999</v>
      </c>
      <c r="F26" s="192">
        <f>E26/$E$28</f>
        <v>0.62398009976811897</v>
      </c>
      <c r="G26" s="3"/>
      <c r="H26" s="189" t="s">
        <v>51</v>
      </c>
      <c r="I26" s="174">
        <f>E24/($I$28-I22)</f>
        <v>2.0045038778162945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514825</v>
      </c>
      <c r="D27" s="191">
        <f>IF(E27=0,0,E27/C27)</f>
        <v>0.9</v>
      </c>
      <c r="E27" s="182">
        <f>E21+E22</f>
        <v>463342.5</v>
      </c>
      <c r="F27" s="192">
        <f>E27/$E$28</f>
        <v>1.2369370023540492E-2</v>
      </c>
      <c r="G27" s="3"/>
      <c r="H27" s="189" t="s">
        <v>53</v>
      </c>
      <c r="I27" s="174">
        <f>(E25+E24)/$I$28</f>
        <v>0.52704527983832772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58406336</v>
      </c>
      <c r="D28" s="196">
        <f>E28/C28</f>
        <v>0.64134925361522421</v>
      </c>
      <c r="E28" s="197">
        <f>SUM(E24:E27)</f>
        <v>37458860</v>
      </c>
      <c r="F28" s="92"/>
      <c r="G28" s="3"/>
      <c r="H28" s="194" t="s">
        <v>16</v>
      </c>
      <c r="I28" s="167">
        <f>Inputs!C77</f>
        <v>25845852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50731948</v>
      </c>
      <c r="J30" s="3"/>
    </row>
    <row r="31" spans="2:10" ht="15" customHeight="1" x14ac:dyDescent="0.35">
      <c r="B31" s="9" t="s">
        <v>56</v>
      </c>
      <c r="C31" s="181">
        <f>Inputs!C61</f>
        <v>1408869</v>
      </c>
      <c r="D31" s="264">
        <f>Inputs!D61</f>
        <v>0.6</v>
      </c>
      <c r="E31" s="182">
        <f t="shared" ref="E31:E42" si="1">C31*D31</f>
        <v>845321.4</v>
      </c>
      <c r="F31" s="266"/>
      <c r="G31" s="3"/>
      <c r="H31" s="9" t="s">
        <v>57</v>
      </c>
      <c r="I31" s="181">
        <f>Inputs!C79</f>
        <v>40529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582318</v>
      </c>
      <c r="D33" s="264">
        <f>Inputs!D63</f>
        <v>0.5</v>
      </c>
      <c r="E33" s="182">
        <f t="shared" si="1"/>
        <v>291159</v>
      </c>
      <c r="F33" s="266"/>
      <c r="G33" s="187">
        <f>IF(F33="Y",0,1)</f>
        <v>1</v>
      </c>
      <c r="H33" s="8" t="s">
        <v>60</v>
      </c>
      <c r="I33" s="184">
        <f>Inputs!C81</f>
        <v>278874</v>
      </c>
      <c r="J33" s="3"/>
    </row>
    <row r="34" spans="2:10" ht="11.65" x14ac:dyDescent="0.35">
      <c r="B34" s="9" t="s">
        <v>61</v>
      </c>
      <c r="C34" s="181">
        <f>Inputs!C64</f>
        <v>898512</v>
      </c>
      <c r="D34" s="264">
        <f>Inputs!D64</f>
        <v>0.4</v>
      </c>
      <c r="E34" s="182">
        <f t="shared" si="1"/>
        <v>359404.80000000005</v>
      </c>
      <c r="F34" s="266"/>
      <c r="G34" s="3"/>
      <c r="H34" s="2" t="s">
        <v>71</v>
      </c>
      <c r="I34" s="186">
        <f>SUM(I30:I33)</f>
        <v>51051351</v>
      </c>
      <c r="J34" s="3"/>
    </row>
    <row r="35" spans="2:10" ht="11.65" x14ac:dyDescent="0.35">
      <c r="B35" s="9" t="s">
        <v>63</v>
      </c>
      <c r="C35" s="181">
        <f>Inputs!C65</f>
        <v>24823141</v>
      </c>
      <c r="D35" s="264">
        <f>Inputs!D65</f>
        <v>0.1</v>
      </c>
      <c r="E35" s="182">
        <f t="shared" si="1"/>
        <v>2482314.1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76964829</v>
      </c>
      <c r="D36" s="264">
        <f>Inputs!D66</f>
        <v>0.3</v>
      </c>
      <c r="E36" s="182">
        <f t="shared" si="1"/>
        <v>23089448.699999999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39222688</v>
      </c>
      <c r="D37" s="264">
        <f>Inputs!D67</f>
        <v>0.2</v>
      </c>
      <c r="E37" s="182">
        <f t="shared" si="1"/>
        <v>7844537.6000000006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6003185</v>
      </c>
      <c r="D38" s="264">
        <f>Inputs!D68</f>
        <v>0.1</v>
      </c>
      <c r="E38" s="182">
        <f t="shared" si="1"/>
        <v>600318.5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122504</v>
      </c>
      <c r="D40" s="264">
        <f>Inputs!D70</f>
        <v>0.05</v>
      </c>
      <c r="E40" s="182">
        <f t="shared" si="1"/>
        <v>6125.2000000000007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1408869</v>
      </c>
      <c r="D44" s="191">
        <f>IF(E44=0,0,E44/C44)</f>
        <v>0.6</v>
      </c>
      <c r="E44" s="182">
        <f>SUM(E30:E31)</f>
        <v>845321.4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26303971</v>
      </c>
      <c r="D45" s="191">
        <f>IF(E45=0,0,E45/C45)</f>
        <v>0.11910284952792871</v>
      </c>
      <c r="E45" s="182">
        <f>SUM(E32:E35)</f>
        <v>3132877.9000000004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122190702</v>
      </c>
      <c r="D46" s="191">
        <f>IF(E46=0,0,E46/C46)</f>
        <v>0.25807450390128706</v>
      </c>
      <c r="E46" s="182">
        <f>E36+E37+E38+E39</f>
        <v>31534304.800000001</v>
      </c>
      <c r="F46" s="3"/>
      <c r="G46" s="3"/>
      <c r="H46" s="189" t="s">
        <v>74</v>
      </c>
      <c r="I46" s="174">
        <f>(E44+E24)/E64</f>
        <v>0.25004165078233215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122504</v>
      </c>
      <c r="D47" s="191">
        <f>IF(E47=0,0,E47/C47)</f>
        <v>0.05</v>
      </c>
      <c r="E47" s="182">
        <f>E40+E41+E42</f>
        <v>6125.2000000000007</v>
      </c>
      <c r="F47" s="3"/>
      <c r="G47" s="3"/>
      <c r="H47" s="189" t="s">
        <v>76</v>
      </c>
      <c r="I47" s="174">
        <f>(E44+E45+E24+E25)/$I$49</f>
        <v>0.2016616495882507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150026046</v>
      </c>
      <c r="D48" s="201">
        <f>E48/C48</f>
        <v>0.23674975277292853</v>
      </c>
      <c r="E48" s="202">
        <f>SUM(E30:E42)</f>
        <v>35518629.300000004</v>
      </c>
      <c r="F48" s="3"/>
      <c r="G48" s="3"/>
      <c r="H48" s="96" t="s">
        <v>78</v>
      </c>
      <c r="I48" s="203">
        <f>I49-I28</f>
        <v>61429709</v>
      </c>
      <c r="J48" s="193"/>
    </row>
    <row r="49" spans="2:11" ht="15" customHeight="1" thickTop="1" x14ac:dyDescent="0.35">
      <c r="B49" s="9" t="s">
        <v>14</v>
      </c>
      <c r="C49" s="190">
        <f>Inputs!C41+Inputs!C37</f>
        <v>208432382</v>
      </c>
      <c r="D49" s="176">
        <f>E49/C49</f>
        <v>0.3501254872191597</v>
      </c>
      <c r="E49" s="182">
        <f>E28+E48</f>
        <v>72977489.300000012</v>
      </c>
      <c r="F49" s="3"/>
      <c r="G49" s="3"/>
      <c r="H49" s="9" t="s">
        <v>79</v>
      </c>
      <c r="I49" s="181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13900241</v>
      </c>
      <c r="D53" s="34">
        <f>IF(E53=0, 0,E53/C53)</f>
        <v>1</v>
      </c>
      <c r="E53" s="182">
        <f>IF(C53=0,0,MAX(C53,C53*Dashboard!G23))</f>
        <v>13900241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57845252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26232010</v>
      </c>
      <c r="D61" s="176">
        <f t="shared" ref="D61:D70" si="2">IF(E61=0,0,E61/C61)</f>
        <v>0.12685400394403631</v>
      </c>
      <c r="E61" s="188">
        <f>E14+E15+(E19*G19)+(E20*G20)+E31+E32+(E35*G35)+(E36*G36)+(E37*G37)</f>
        <v>3327635.5</v>
      </c>
      <c r="F61" s="3"/>
      <c r="G61" s="3"/>
      <c r="H61" s="2" t="s">
        <v>257</v>
      </c>
      <c r="I61" s="209">
        <f>C99*Data!$C$4/Common_Shares</f>
        <v>-29.168181302733753</v>
      </c>
      <c r="K61" s="178"/>
    </row>
    <row r="62" spans="2:11" ht="11.65" x14ac:dyDescent="0.35">
      <c r="B62" s="12" t="s">
        <v>130</v>
      </c>
      <c r="C62" s="210">
        <f>C11+C30</f>
        <v>13539631</v>
      </c>
      <c r="D62" s="211">
        <f t="shared" si="2"/>
        <v>0.9</v>
      </c>
      <c r="E62" s="212">
        <f>E11+E30</f>
        <v>12185667.9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39771641</v>
      </c>
      <c r="D63" s="34">
        <f t="shared" si="2"/>
        <v>0.39005942450300202</v>
      </c>
      <c r="E63" s="190">
        <f>E61+E62</f>
        <v>15513303.4</v>
      </c>
      <c r="F63" s="3"/>
      <c r="G63" s="3"/>
      <c r="H63" s="2" t="s">
        <v>258</v>
      </c>
      <c r="I63" s="213">
        <f>IF(I61&gt;0,FV(I62,D93,0,-I61),I61)</f>
        <v>-29.168181302733753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57845252</v>
      </c>
      <c r="F64" s="3"/>
      <c r="G64" s="3"/>
      <c r="H64" s="2" t="s">
        <v>259</v>
      </c>
      <c r="I64" s="213">
        <f>IF(I61&gt;0,PV(C94,D93,0,-I63),I61)</f>
        <v>-29.168181302733753</v>
      </c>
      <c r="K64" s="178"/>
    </row>
    <row r="65" spans="1:11" ht="12" thickTop="1" x14ac:dyDescent="0.35">
      <c r="B65" s="9" t="s">
        <v>133</v>
      </c>
      <c r="C65" s="208">
        <f>C63-E64</f>
        <v>-18073611</v>
      </c>
      <c r="D65" s="34">
        <f t="shared" si="2"/>
        <v>2.3421965095962287</v>
      </c>
      <c r="E65" s="190">
        <f>E63-E64</f>
        <v>-42331948.600000001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168660741</v>
      </c>
      <c r="D68" s="34">
        <f t="shared" si="2"/>
        <v>0.34070872426678128</v>
      </c>
      <c r="E68" s="208">
        <f>E49-E63</f>
        <v>57464185.900000013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29430309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139230432</v>
      </c>
      <c r="D70" s="34">
        <f t="shared" si="2"/>
        <v>0.20134877481382815</v>
      </c>
      <c r="E70" s="208">
        <f>E68-E69</f>
        <v>28033876.900000013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13089628</v>
      </c>
      <c r="D74" s="103"/>
      <c r="E74" s="262">
        <f>Inputs!E91</f>
        <v>13089628</v>
      </c>
      <c r="F74" s="103"/>
      <c r="H74" s="262">
        <f>Inputs!F91</f>
        <v>13089628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6368352</v>
      </c>
      <c r="D75" s="106">
        <f>C75/$C$74</f>
        <v>0.48651894461783024</v>
      </c>
      <c r="E75" s="262">
        <f>Inputs!E92</f>
        <v>6368352</v>
      </c>
      <c r="F75" s="217">
        <f>E75/E74</f>
        <v>0.48651894461783024</v>
      </c>
      <c r="H75" s="262">
        <f>Inputs!F92</f>
        <v>6368352</v>
      </c>
      <c r="I75" s="217">
        <f>H75/$H$74</f>
        <v>0.48651894461783024</v>
      </c>
      <c r="K75" s="75"/>
    </row>
    <row r="76" spans="1:11" ht="15" customHeight="1" x14ac:dyDescent="0.35">
      <c r="B76" s="12" t="s">
        <v>88</v>
      </c>
      <c r="C76" s="150">
        <f>C74-C75</f>
        <v>6721276</v>
      </c>
      <c r="D76" s="218"/>
      <c r="E76" s="219">
        <f>E74-E75</f>
        <v>6721276</v>
      </c>
      <c r="F76" s="218"/>
      <c r="H76" s="219">
        <f>H74-H75</f>
        <v>6721276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1783204</v>
      </c>
      <c r="D77" s="106">
        <f>C77/$C$74</f>
        <v>0.13623030387112606</v>
      </c>
      <c r="E77" s="262">
        <f>Inputs!E93</f>
        <v>1783204</v>
      </c>
      <c r="F77" s="217">
        <f>E77/E74</f>
        <v>0.13623030387112606</v>
      </c>
      <c r="H77" s="262">
        <f>Inputs!F93</f>
        <v>1783204</v>
      </c>
      <c r="I77" s="217">
        <f>H77/$H$74</f>
        <v>0.13623030387112606</v>
      </c>
      <c r="K77" s="75"/>
    </row>
    <row r="78" spans="1:11" ht="15" customHeight="1" x14ac:dyDescent="0.35">
      <c r="B78" s="98" t="s">
        <v>153</v>
      </c>
      <c r="C78" s="102">
        <f>MAX(Data!C12,0)</f>
        <v>1227278.6666666667</v>
      </c>
      <c r="D78" s="106">
        <f>C78/$C$74</f>
        <v>9.375962912518726E-2</v>
      </c>
      <c r="E78" s="220">
        <f>E74*F78</f>
        <v>1227278.6666666667</v>
      </c>
      <c r="F78" s="217">
        <f>I78</f>
        <v>9.375962912518726E-2</v>
      </c>
      <c r="H78" s="262">
        <f>Inputs!F97</f>
        <v>1227278.6666666667</v>
      </c>
      <c r="I78" s="217">
        <f>H78/$H$74</f>
        <v>9.375962912518726E-2</v>
      </c>
      <c r="K78" s="75"/>
    </row>
    <row r="79" spans="1:11" ht="15" customHeight="1" x14ac:dyDescent="0.35">
      <c r="B79" s="221" t="s">
        <v>206</v>
      </c>
      <c r="C79" s="222">
        <f>C76-C77-C78</f>
        <v>3710793.333333333</v>
      </c>
      <c r="D79" s="223">
        <f>C79/C74</f>
        <v>0.28349112238585644</v>
      </c>
      <c r="E79" s="224">
        <f>E76-E77-E78</f>
        <v>3710793.333333333</v>
      </c>
      <c r="F79" s="223">
        <f>E79/E74</f>
        <v>0.28349112238585644</v>
      </c>
      <c r="G79" s="225"/>
      <c r="H79" s="224">
        <f>H76-H77-H78</f>
        <v>3710793.333333333</v>
      </c>
      <c r="I79" s="223">
        <f>H79/H74</f>
        <v>0.28349112238585644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599686</v>
      </c>
      <c r="D81" s="106">
        <f>C81/$C$74</f>
        <v>4.581383061459042E-2</v>
      </c>
      <c r="E81" s="220">
        <f>E74*F81</f>
        <v>599686</v>
      </c>
      <c r="F81" s="217">
        <f>I81</f>
        <v>4.581383061459042E-2</v>
      </c>
      <c r="H81" s="262">
        <f>Inputs!F94</f>
        <v>599686</v>
      </c>
      <c r="I81" s="217">
        <f>H81/$H$74</f>
        <v>4.581383061459042E-2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3111107.333333333</v>
      </c>
      <c r="D83" s="229">
        <f>C83/$C$74</f>
        <v>0.23767729177126601</v>
      </c>
      <c r="E83" s="230">
        <f>E79-E81-E82-E80</f>
        <v>3111107.333333333</v>
      </c>
      <c r="F83" s="229">
        <f>E83/E74</f>
        <v>0.23767729177126601</v>
      </c>
      <c r="H83" s="230">
        <f>H79-H81-H82-H80</f>
        <v>3111107.333333333</v>
      </c>
      <c r="I83" s="229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2333330.5</v>
      </c>
      <c r="D85" s="223">
        <f>C85/$C$74</f>
        <v>0.17825796882844952</v>
      </c>
      <c r="E85" s="235">
        <f>E83*(1-F84)</f>
        <v>2333330.5</v>
      </c>
      <c r="F85" s="223">
        <f>E85/E74</f>
        <v>0.17825796882844952</v>
      </c>
      <c r="G85" s="225"/>
      <c r="H85" s="235">
        <f>H83*(1-I84)</f>
        <v>2333330.5</v>
      </c>
      <c r="I85" s="223">
        <f>H85/$H$74</f>
        <v>0.17825796882844952</v>
      </c>
      <c r="K85" s="75"/>
    </row>
    <row r="86" spans="1:11" ht="15" customHeight="1" x14ac:dyDescent="0.35">
      <c r="B86" s="3" t="s">
        <v>146</v>
      </c>
      <c r="C86" s="236">
        <f>C85*Data!C4/Common_Shares</f>
        <v>1.6077456699736805</v>
      </c>
      <c r="D86" s="103"/>
      <c r="E86" s="237">
        <f>E85*Data!C4/Common_Shares</f>
        <v>1.6077456699736805</v>
      </c>
      <c r="F86" s="103"/>
      <c r="H86" s="237">
        <f>H85*Data!C4/Common_Shares</f>
        <v>1.6077456699736805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0.10385953940398453</v>
      </c>
      <c r="D87" s="103"/>
      <c r="E87" s="239">
        <f>E86*Exchange_Rate/Dashboard!G3</f>
        <v>0.10385953940398453</v>
      </c>
      <c r="F87" s="103"/>
      <c r="H87" s="239">
        <f>H86*Exchange_Rate/Dashboard!G3</f>
        <v>0.10385953940398453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1.3499962549695244</v>
      </c>
      <c r="D88" s="241">
        <f>C88/C86</f>
        <v>0.83968271859293786</v>
      </c>
      <c r="E88" s="261">
        <f>Inputs!E98</f>
        <v>0.67499812748476218</v>
      </c>
      <c r="F88" s="241">
        <f>E88/E86</f>
        <v>0.41984135929646893</v>
      </c>
      <c r="H88" s="261">
        <f>Inputs!F98</f>
        <v>1.3499962549695244</v>
      </c>
      <c r="I88" s="241">
        <f>H88/H86</f>
        <v>0.83968271859293786</v>
      </c>
      <c r="K88" s="75"/>
    </row>
    <row r="89" spans="1:11" ht="15" customHeight="1" x14ac:dyDescent="0.35">
      <c r="B89" s="3" t="s">
        <v>196</v>
      </c>
      <c r="C89" s="238">
        <f>C88*Exchange_Rate/Dashboard!G3</f>
        <v>8.7209060398548088E-2</v>
      </c>
      <c r="D89" s="103"/>
      <c r="E89" s="238">
        <f>E88*Exchange_Rate/Dashboard!G3</f>
        <v>4.3604530199274044E-2</v>
      </c>
      <c r="F89" s="103"/>
      <c r="H89" s="238">
        <f>H88*Exchange_Rate/Dashboard!G3</f>
        <v>8.7209060398548088E-2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32.641710697685298</v>
      </c>
      <c r="H93" s="3" t="s">
        <v>185</v>
      </c>
      <c r="I93" s="243">
        <f>FV(H87,D93,0,-(H86/(C93-D94)))*Exchange_Rate</f>
        <v>32.641710697685298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11.580426445723205</v>
      </c>
      <c r="H94" s="3" t="s">
        <v>186</v>
      </c>
      <c r="I94" s="243">
        <f>FV(H89,D93,0,-(H88/(C93-D94)))*Exchange_Rate</f>
        <v>26.187007348185478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31148583.353181265</v>
      </c>
      <c r="D97" s="250"/>
      <c r="E97" s="251">
        <f>PV(C94,D93,0,-F93)</f>
        <v>21.462454638076967</v>
      </c>
      <c r="F97" s="250"/>
      <c r="H97" s="251">
        <f>PV(C94,D93,0,-I93)</f>
        <v>21.462454638076967</v>
      </c>
      <c r="I97" s="251">
        <f>PV(C93,D93,0,-I93)</f>
        <v>25.467337454940051</v>
      </c>
      <c r="K97" s="75"/>
    </row>
    <row r="98" spans="2:11" ht="15" customHeight="1" x14ac:dyDescent="0.35">
      <c r="B98" s="18" t="s">
        <v>135</v>
      </c>
      <c r="C98" s="249">
        <f>-E53*Exchange_Rate</f>
        <v>-13900241</v>
      </c>
      <c r="D98" s="250"/>
      <c r="E98" s="250"/>
      <c r="F98" s="250"/>
      <c r="H98" s="251">
        <f>C98*Data!$C$4/Common_Shares</f>
        <v>-9.5777483212689418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-42331948.600000001</v>
      </c>
      <c r="D99" s="254"/>
      <c r="E99" s="255">
        <f>IF(H99&gt;0,I64,H99)</f>
        <v>-29.168181302733753</v>
      </c>
      <c r="F99" s="254"/>
      <c r="H99" s="255">
        <f>I64</f>
        <v>-29.168181302733753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7.6143183665476837</v>
      </c>
      <c r="E103" s="251">
        <f>PV(C94,D93,0,-F94)</f>
        <v>7.6143183665476837</v>
      </c>
      <c r="F103" s="257">
        <f>(E103+H103)/2</f>
        <v>12.416350388397696</v>
      </c>
      <c r="H103" s="251">
        <f>PV(C94,D93,0,-I94)</f>
        <v>17.21838241024771</v>
      </c>
      <c r="I103" s="257">
        <f>PV(C93,D93,0,-I94)</f>
        <v>20.431323567809414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3.8071591832738418</v>
      </c>
      <c r="E106" s="251">
        <f>(E100+E103)/2</f>
        <v>3.8071591832738418</v>
      </c>
      <c r="F106" s="257">
        <f>(F100+F103)/2</f>
        <v>6.2081751941988479</v>
      </c>
      <c r="H106" s="251">
        <f>(H100+H103)/2</f>
        <v>8.6091912051238548</v>
      </c>
      <c r="I106" s="251">
        <f>(I100+I103)/2</f>
        <v>10.215661783904707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