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B570CE-BC2B-41EE-AD89-5995A32DAF6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D93" i="3"/>
  <c r="F95" i="4" l="1"/>
  <c r="F96" i="4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7" i="3" l="1"/>
  <c r="E55" i="2"/>
  <c r="D54" i="2"/>
  <c r="G55" i="2"/>
  <c r="G57" i="2"/>
  <c r="E57" i="2"/>
  <c r="M57" i="2"/>
  <c r="K57" i="2"/>
  <c r="L57" i="2"/>
  <c r="D57" i="2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<sst xmlns="http://schemas.openxmlformats.org/spreadsheetml/2006/main" count="403" uniqueCount="287">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</sst>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285</v>
      </c>
    </row>
    <row r="9" spans="1:5" x14ac:dyDescent="0.35">
      <c r="B9" s="39" t="s">
        <v>192</v>
      </c>
      <c r="C9" s="124" t="s">
        <v>286</v>
      </c>
    </row>
    <row r="10" spans="1:5" x14ac:dyDescent="0.35">
      <c r="B10" s="39" t="s">
        <v>193</v>
      </c>
      <c r="C10" s="70">
        <v>7286015440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883478</v>
      </c>
      <c r="D25" s="80">
        <v>1599809</v>
      </c>
      <c r="E25" s="80">
        <v>1195031</v>
      </c>
      <c r="F25" s="80">
        <v>705854</v>
      </c>
      <c r="G25" s="80">
        <v>396091</v>
      </c>
      <c r="H25" s="80">
        <v>1676296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523759</v>
      </c>
      <c r="D26" s="82">
        <v>535391</v>
      </c>
      <c r="E26" s="82">
        <v>647828</v>
      </c>
      <c r="F26" s="82">
        <v>531460</v>
      </c>
      <c r="G26" s="82">
        <v>193695</v>
      </c>
      <c r="H26" s="82">
        <v>1515759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299979</v>
      </c>
      <c r="D27" s="82">
        <v>378568</v>
      </c>
      <c r="E27" s="82">
        <v>343154</v>
      </c>
      <c r="F27" s="82">
        <v>250972</v>
      </c>
      <c r="G27" s="82">
        <v>231174</v>
      </c>
      <c r="H27" s="82">
        <v>164177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105689</v>
      </c>
      <c r="D29" s="82">
        <v>102356</v>
      </c>
      <c r="E29" s="82">
        <v>74343</v>
      </c>
      <c r="F29" s="82">
        <v>77168</v>
      </c>
      <c r="G29" s="82">
        <v>27358</v>
      </c>
      <c r="H29" s="82">
        <v>5699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55980</v>
      </c>
      <c r="D30" s="82">
        <v>-7663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6479593</v>
      </c>
      <c r="F34" s="82">
        <v>4814457</v>
      </c>
      <c r="G34" s="82">
        <v>3809545</v>
      </c>
      <c r="H34" s="82">
        <v>3366187</v>
      </c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4197215</v>
      </c>
      <c r="D37" s="82"/>
      <c r="E37" s="82">
        <v>1972480</v>
      </c>
      <c r="F37" s="82">
        <v>699855</v>
      </c>
      <c r="G37" s="82">
        <v>289962</v>
      </c>
      <c r="H37" s="82">
        <v>404157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672819</v>
      </c>
      <c r="F39" s="82">
        <v>128928</v>
      </c>
      <c r="G39" s="82">
        <v>79063</v>
      </c>
      <c r="H39" s="82">
        <v>103143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1954184</v>
      </c>
      <c r="F40" s="82">
        <v>1488416</v>
      </c>
      <c r="G40" s="82">
        <v>848368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10154883</v>
      </c>
      <c r="D41" s="82"/>
      <c r="E41" s="82">
        <v>10746578</v>
      </c>
      <c r="F41" s="82">
        <v>11919298</v>
      </c>
      <c r="G41" s="82">
        <v>9822624</v>
      </c>
      <c r="H41" s="82">
        <v>8995456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99525</v>
      </c>
      <c r="D42" s="82"/>
      <c r="E42" s="82">
        <v>100450</v>
      </c>
      <c r="F42" s="82">
        <v>147008</v>
      </c>
      <c r="G42" s="82">
        <v>138319</v>
      </c>
      <c r="H42" s="82">
        <v>29199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0.022+0.0328</f>
        <v>5.4800000000000001E-2</v>
      </c>
      <c r="D44" s="86">
        <f>0.054+0.0412</f>
        <v>9.5200000000000007E-2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5.3203883495145633E-2</v>
      </c>
      <c r="D45" s="87">
        <f>IF(D44="","",D44*Exchange_Rate/Dashboard!$G$3)</f>
        <v>9.2427184466019427E-2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f>1315701+2706917</f>
        <v>4022618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254913+394199</f>
        <v>649112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171402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4626423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103165</v>
      </c>
      <c r="D64" s="114">
        <v>0.4</v>
      </c>
      <c r="E64" s="266"/>
    </row>
    <row r="65" spans="2:5" x14ac:dyDescent="0.35">
      <c r="B65" s="9" t="s">
        <v>63</v>
      </c>
      <c r="C65" s="91">
        <f>237097+544099</f>
        <v>781196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875642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113151+2268116+164542</f>
        <v>2545809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>
        <v>23095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553636</v>
      </c>
      <c r="D72" s="116">
        <v>0</v>
      </c>
      <c r="E72" s="268"/>
    </row>
    <row r="73" spans="2:5" x14ac:dyDescent="0.35">
      <c r="B73" s="9" t="s">
        <v>32</v>
      </c>
      <c r="C73" s="91">
        <v>30697</v>
      </c>
    </row>
    <row r="74" spans="2:5" x14ac:dyDescent="0.35">
      <c r="B74" s="9" t="s">
        <v>33</v>
      </c>
      <c r="C74" s="91">
        <v>143877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222396</v>
      </c>
    </row>
    <row r="77" spans="2:5" ht="12" thickBot="1" x14ac:dyDescent="0.4">
      <c r="B77" s="96" t="s">
        <v>16</v>
      </c>
      <c r="C77" s="97">
        <v>1241245</v>
      </c>
    </row>
    <row r="78" spans="2:5" ht="12" thickTop="1" x14ac:dyDescent="0.35">
      <c r="B78" s="9" t="s">
        <v>55</v>
      </c>
      <c r="C78" s="91">
        <f>361148+714395</f>
        <v>1075543</v>
      </c>
    </row>
    <row r="79" spans="2:5" x14ac:dyDescent="0.35">
      <c r="B79" s="9" t="s">
        <v>57</v>
      </c>
      <c r="C79" s="91">
        <v>1679438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89231</v>
      </c>
    </row>
    <row r="82" spans="2:8" ht="12" hidden="1" thickBot="1" x14ac:dyDescent="0.4">
      <c r="B82" s="96" t="s">
        <v>250</v>
      </c>
      <c r="C82" s="84">
        <v>2955970</v>
      </c>
    </row>
    <row r="83" spans="2:8" ht="12" hidden="1" thickTop="1" x14ac:dyDescent="0.35">
      <c r="B83" s="98" t="s">
        <v>251</v>
      </c>
      <c r="C83" s="84">
        <v>10055358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883478</v>
      </c>
      <c r="D91" s="103"/>
      <c r="E91" s="104">
        <f>C91</f>
        <v>883478</v>
      </c>
      <c r="F91" s="104">
        <f>C91</f>
        <v>883478</v>
      </c>
    </row>
    <row r="92" spans="2:8" x14ac:dyDescent="0.35">
      <c r="B92" s="105" t="s">
        <v>98</v>
      </c>
      <c r="C92" s="102">
        <f>C26</f>
        <v>523759</v>
      </c>
      <c r="D92" s="106">
        <f>C92/C91</f>
        <v>0.59283762583788169</v>
      </c>
      <c r="E92" s="107">
        <f>E91*D92</f>
        <v>523759.00000000006</v>
      </c>
      <c r="F92" s="107">
        <f>F91*D92</f>
        <v>523759.00000000006</v>
      </c>
    </row>
    <row r="93" spans="2:8" x14ac:dyDescent="0.35">
      <c r="B93" s="105" t="s">
        <v>219</v>
      </c>
      <c r="C93" s="102">
        <f>C27+C28</f>
        <v>299979</v>
      </c>
      <c r="D93" s="106">
        <f>C93/C91</f>
        <v>0.33954325970765542</v>
      </c>
      <c r="E93" s="107">
        <f>E91*D93</f>
        <v>299979</v>
      </c>
      <c r="F93" s="107">
        <f>F91*D93</f>
        <v>299979</v>
      </c>
    </row>
    <row r="94" spans="2:8" x14ac:dyDescent="0.35">
      <c r="B94" s="105" t="s">
        <v>225</v>
      </c>
      <c r="C94" s="102">
        <f>C29</f>
        <v>105689</v>
      </c>
      <c r="D94" s="106">
        <f>C94/C91</f>
        <v>0.11962833256742103</v>
      </c>
      <c r="E94" s="108"/>
      <c r="F94" s="107">
        <f>F91*D94</f>
        <v>105689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74640</v>
      </c>
      <c r="D97" s="106">
        <f>C97/C91</f>
        <v>8.4484276914648701E-2</v>
      </c>
      <c r="E97" s="108"/>
      <c r="F97" s="107">
        <f>F91*D97</f>
        <v>74640</v>
      </c>
    </row>
    <row r="98" spans="2:6" x14ac:dyDescent="0.35">
      <c r="B98" s="8" t="s">
        <v>183</v>
      </c>
      <c r="C98" s="109">
        <f>C44</f>
        <v>5.4800000000000001E-2</v>
      </c>
      <c r="D98" s="110"/>
      <c r="E98" s="111">
        <f>F98</f>
        <v>5.4800000000000001E-2</v>
      </c>
      <c r="F98" s="111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0697.HK</v>
      </c>
      <c r="D3" s="316"/>
      <c r="E3" s="3"/>
      <c r="F3" s="9" t="s">
        <v>1</v>
      </c>
      <c r="G3" s="10">
        <v>1.03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首程控股</v>
      </c>
      <c r="D4" s="318"/>
      <c r="E4" s="3"/>
      <c r="F4" s="9" t="s">
        <v>3</v>
      </c>
      <c r="G4" s="321">
        <f>Inputs!C10</f>
        <v>7286015440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3">
        <f>G3*G4/1000000</f>
        <v>7504.5959032000001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-1.4817970677921169E-3</v>
      </c>
      <c r="F20" s="3" t="s">
        <v>187</v>
      </c>
      <c r="G20" s="121">
        <v>0.15</v>
      </c>
      <c r="H20" s="307">
        <v>3</v>
      </c>
    </row>
    <row r="21" spans="1:8" ht="15.75" customHeight="1" thickTop="1" x14ac:dyDescent="0.35">
      <c r="B21" s="32" t="s">
        <v>241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6.155741132759824E-2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1.4273085055748389</v>
      </c>
      <c r="F23" s="39" t="s">
        <v>166</v>
      </c>
      <c r="G23" s="40">
        <f>G3/(Data!C34*Data!C4/Common_Shares*Exchange_Rate)</f>
        <v>0.73901352710809187</v>
      </c>
    </row>
    <row r="24" spans="1:8" ht="15.75" customHeight="1" x14ac:dyDescent="0.35">
      <c r="B24" s="41" t="s">
        <v>242</v>
      </c>
      <c r="C24" s="42">
        <f>Fin_Analysis!I81</f>
        <v>0.11962833256742103</v>
      </c>
      <c r="F24" s="39" t="s">
        <v>227</v>
      </c>
      <c r="G24" s="43">
        <f>G3/(Fin_Analysis!H86*G7)</f>
        <v>-82.977119562591355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-4.41470500197088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5.3203883495145633E-2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0.11256163782064747</v>
      </c>
      <c r="D29" s="54">
        <f>G29*(1+G20)</f>
        <v>0.12679688034285511</v>
      </c>
      <c r="E29" s="3"/>
      <c r="F29" s="55">
        <f>IF(Fin_Analysis!C108="Profit",Fin_Analysis!F100,IF(Fin_Analysis!C108="Dividend",Fin_Analysis!F103,Fin_Analysis!F106))</f>
        <v>0.13242545625958527</v>
      </c>
      <c r="G29" s="312">
        <f>IF(Fin_Analysis!C108="Profit",Fin_Analysis!I100,IF(Fin_Analysis!C108="Dividend",Fin_Analysis!I103,Fin_Analysis!I106))</f>
        <v>0.11025815681987403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-3640</v>
      </c>
      <c r="G3" s="144">
        <f>C14</f>
        <v>-14900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0.26477754785418428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883478</v>
      </c>
      <c r="D6" s="147">
        <f>IF(Inputs!D25="","",Inputs!D25)</f>
        <v>1599809</v>
      </c>
      <c r="E6" s="147">
        <f>IF(Inputs!E25="","",Inputs!E25)</f>
        <v>1195031</v>
      </c>
      <c r="F6" s="147">
        <f>IF(Inputs!F25="","",Inputs!F25)</f>
        <v>705854</v>
      </c>
      <c r="G6" s="147">
        <f>IF(Inputs!G25="","",Inputs!G25)</f>
        <v>396091</v>
      </c>
      <c r="H6" s="147">
        <f>IF(Inputs!H25="","",Inputs!H25)</f>
        <v>1676296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-0.44776032638896268</v>
      </c>
      <c r="D7" s="148">
        <f t="shared" si="1"/>
        <v>0.33871757301693428</v>
      </c>
      <c r="E7" s="148">
        <f t="shared" si="1"/>
        <v>0.69302858664823042</v>
      </c>
      <c r="F7" s="148">
        <f t="shared" si="1"/>
        <v>0.78205008445029045</v>
      </c>
      <c r="G7" s="148">
        <f t="shared" si="1"/>
        <v>-0.76371058571994443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523759</v>
      </c>
      <c r="D8" s="149">
        <f>IF(Inputs!D26="","",Inputs!D26)</f>
        <v>535391</v>
      </c>
      <c r="E8" s="149">
        <f>IF(Inputs!E26="","",Inputs!E26)</f>
        <v>647828</v>
      </c>
      <c r="F8" s="149">
        <f>IF(Inputs!F26="","",Inputs!F26)</f>
        <v>531460</v>
      </c>
      <c r="G8" s="149">
        <f>IF(Inputs!G26="","",Inputs!G26)</f>
        <v>193695</v>
      </c>
      <c r="H8" s="149">
        <f>IF(Inputs!H26="","",Inputs!H26)</f>
        <v>1515759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359719</v>
      </c>
      <c r="D9" s="279">
        <f t="shared" si="2"/>
        <v>1064418</v>
      </c>
      <c r="E9" s="279">
        <f t="shared" si="2"/>
        <v>547203</v>
      </c>
      <c r="F9" s="279">
        <f t="shared" si="2"/>
        <v>174394</v>
      </c>
      <c r="G9" s="279">
        <f t="shared" si="2"/>
        <v>202396</v>
      </c>
      <c r="H9" s="279">
        <f t="shared" si="2"/>
        <v>160537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299979</v>
      </c>
      <c r="D10" s="149">
        <f>IF(Inputs!D27="","",Inputs!D27)</f>
        <v>378568</v>
      </c>
      <c r="E10" s="149">
        <f>IF(Inputs!E27="","",Inputs!E27)</f>
        <v>343154</v>
      </c>
      <c r="F10" s="149">
        <f>IF(Inputs!F27="","",Inputs!F27)</f>
        <v>250972</v>
      </c>
      <c r="G10" s="149">
        <f>IF(Inputs!G27="","",Inputs!G27)</f>
        <v>231174</v>
      </c>
      <c r="H10" s="149">
        <f>IF(Inputs!H27="","",Inputs!H27)</f>
        <v>164177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74640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-1.6865162460185767E-2</v>
      </c>
      <c r="D13" s="300">
        <f t="shared" si="3"/>
        <v>0.42870742694909203</v>
      </c>
      <c r="E13" s="300">
        <f t="shared" si="3"/>
        <v>0.1707478718125304</v>
      </c>
      <c r="F13" s="300">
        <f t="shared" si="3"/>
        <v>-0.10848985767594999</v>
      </c>
      <c r="G13" s="300">
        <f t="shared" si="3"/>
        <v>-7.265502119462447E-2</v>
      </c>
      <c r="H13" s="300">
        <f t="shared" si="3"/>
        <v>-2.1714542061783836E-3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-14900</v>
      </c>
      <c r="D14" s="302">
        <f t="shared" ref="D14:M14" si="4">IF(D6="","",D9-D10-MAX(D11,0)-MAX(D12,0))</f>
        <v>685850</v>
      </c>
      <c r="E14" s="302">
        <f t="shared" si="4"/>
        <v>204049</v>
      </c>
      <c r="F14" s="302">
        <f t="shared" si="4"/>
        <v>-76578</v>
      </c>
      <c r="G14" s="302">
        <f t="shared" si="4"/>
        <v>-28778</v>
      </c>
      <c r="H14" s="302">
        <f t="shared" si="4"/>
        <v>-3640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2.3612024562727578</v>
      </c>
      <c r="E15" s="304" t="str">
        <f t="shared" si="5"/>
        <v>Turn</v>
      </c>
      <c r="F15" s="304">
        <f t="shared" si="5"/>
        <v>-1.6609910348182639</v>
      </c>
      <c r="G15" s="304">
        <f t="shared" si="5"/>
        <v>-6.9060439560439564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105689</v>
      </c>
      <c r="D17" s="149">
        <f>IF(Inputs!D29="","",Inputs!D29)</f>
        <v>102356</v>
      </c>
      <c r="E17" s="149">
        <f>IF(Inputs!E29="","",Inputs!E29)</f>
        <v>74343</v>
      </c>
      <c r="F17" s="149">
        <f>IF(Inputs!F29="","",Inputs!F29)</f>
        <v>77168</v>
      </c>
      <c r="G17" s="149">
        <f>IF(Inputs!G29="","",Inputs!G29)</f>
        <v>27358</v>
      </c>
      <c r="H17" s="149">
        <f>IF(Inputs!H29="","",Inputs!H29)</f>
        <v>5699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-120589</v>
      </c>
      <c r="D22" s="283">
        <f t="shared" ref="D22:M22" si="8">IF(D6="","",D14-MAX(D16,0)-MAX(D17,0)-ABS(MAX(D21,0)-MAX(D19,0)))</f>
        <v>583494</v>
      </c>
      <c r="E22" s="283">
        <f t="shared" si="8"/>
        <v>129706</v>
      </c>
      <c r="F22" s="283">
        <f t="shared" si="8"/>
        <v>-153746</v>
      </c>
      <c r="G22" s="283">
        <f t="shared" si="8"/>
        <v>-56136</v>
      </c>
      <c r="H22" s="283">
        <f t="shared" si="8"/>
        <v>-9339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-0.10237012127070511</v>
      </c>
      <c r="D23" s="148">
        <f t="shared" si="9"/>
        <v>0.27354546699012194</v>
      </c>
      <c r="E23" s="148">
        <f t="shared" si="9"/>
        <v>8.1403327612421764E-2</v>
      </c>
      <c r="F23" s="148">
        <f t="shared" si="9"/>
        <v>-0.16336168669441556</v>
      </c>
      <c r="G23" s="148">
        <f t="shared" si="9"/>
        <v>-0.10629375572785042</v>
      </c>
      <c r="H23" s="148">
        <f t="shared" si="9"/>
        <v>-4.1784088251716877E-3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-90441.75</v>
      </c>
      <c r="D24" s="282">
        <f>IF(D6="","",D22*(1-Fin_Analysis!$I$84))</f>
        <v>437620.5</v>
      </c>
      <c r="E24" s="282">
        <f>IF(E6="","",E22*(1-Fin_Analysis!$I$84))</f>
        <v>97279.5</v>
      </c>
      <c r="F24" s="282">
        <f>IF(F6="","",F22*(1-Fin_Analysis!$I$84))</f>
        <v>-115309.5</v>
      </c>
      <c r="G24" s="282">
        <f>IF(G6="","",G22*(1-Fin_Analysis!$I$84))</f>
        <v>-42102</v>
      </c>
      <c r="H24" s="282">
        <f>IF(H6="","",H22*(1-Fin_Analysis!$I$84))</f>
        <v>-7004.25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3.4985891169259711</v>
      </c>
      <c r="E25" s="152" t="str">
        <f t="shared" si="10"/>
        <v>Turn</v>
      </c>
      <c r="F25" s="152">
        <f t="shared" si="10"/>
        <v>-1.7388128829984324</v>
      </c>
      <c r="G25" s="152">
        <f t="shared" si="10"/>
        <v>-5.0109219402505625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14352098</v>
      </c>
      <c r="D27" s="153" t="str">
        <f>IF(D34="","",D34+D30)</f>
        <v/>
      </c>
      <c r="E27" s="153">
        <f t="shared" ref="E27:M27" si="20">IF(E34="","",E34+E30)</f>
        <v>12719058</v>
      </c>
      <c r="F27" s="153">
        <f t="shared" si="20"/>
        <v>12619153</v>
      </c>
      <c r="G27" s="153">
        <f t="shared" si="20"/>
        <v>10112586</v>
      </c>
      <c r="H27" s="153">
        <f t="shared" si="20"/>
        <v>9399613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649112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4197215</v>
      </c>
      <c r="D30" s="149" t="str">
        <f>IF(Inputs!D37="","",Inputs!D37)</f>
        <v/>
      </c>
      <c r="E30" s="149">
        <f>IF(Inputs!E37="","",Inputs!E37)</f>
        <v>1972480</v>
      </c>
      <c r="F30" s="149">
        <f>IF(Inputs!F37="","",Inputs!F37)</f>
        <v>699855</v>
      </c>
      <c r="G30" s="149">
        <f>IF(Inputs!G37="","",Inputs!G37)</f>
        <v>289962</v>
      </c>
      <c r="H30" s="149">
        <f>IF(Inputs!H37="","",Inputs!H37)</f>
        <v>404157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396970</v>
      </c>
      <c r="D31" s="149" t="str">
        <f>IF(Inputs!D39="","",Inputs!D39)</f>
        <v/>
      </c>
      <c r="E31" s="149">
        <f>IF(Inputs!E39="","",Inputs!E39)</f>
        <v>672819</v>
      </c>
      <c r="F31" s="149">
        <f>IF(Inputs!F39="","",Inputs!F39)</f>
        <v>128928</v>
      </c>
      <c r="G31" s="149">
        <f>IF(Inputs!G39="","",Inputs!G39)</f>
        <v>79063</v>
      </c>
      <c r="H31" s="149">
        <f>IF(Inputs!H39="","",Inputs!H39)</f>
        <v>103143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2844212</v>
      </c>
      <c r="D32" s="149" t="str">
        <f>IF(Inputs!D40="","",Inputs!D40)</f>
        <v/>
      </c>
      <c r="E32" s="149">
        <f>IF(Inputs!E40="","",Inputs!E40)</f>
        <v>1954184</v>
      </c>
      <c r="F32" s="149">
        <f>IF(Inputs!F40="","",Inputs!F40)</f>
        <v>1488416</v>
      </c>
      <c r="G32" s="149">
        <f>IF(Inputs!G40="","",Inputs!G40)</f>
        <v>848368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3241182</v>
      </c>
      <c r="D33" s="102" t="str">
        <f t="shared" ref="D33" si="22">IF(OR(D31="",D32=""),"",D31+D32)</f>
        <v/>
      </c>
      <c r="E33" s="102">
        <f t="shared" ref="E33" si="23">IF(OR(E31="",E32=""),"",E31+E32)</f>
        <v>2627003</v>
      </c>
      <c r="F33" s="102">
        <f t="shared" ref="F33" si="24">IF(OR(F31="",F32=""),"",F31+F32)</f>
        <v>1617344</v>
      </c>
      <c r="G33" s="102">
        <f t="shared" ref="G33" si="25">IF(OR(G31="",G32=""),"",G31+G32)</f>
        <v>927431</v>
      </c>
      <c r="H33" s="102">
        <f t="shared" ref="H33" si="26">IF(OR(H31="",H32=""),"",H31+H32)</f>
        <v>103143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10154883</v>
      </c>
      <c r="D34" s="149" t="str">
        <f>IF(Inputs!D41="","",Inputs!D41)</f>
        <v/>
      </c>
      <c r="E34" s="149">
        <f>IF(Inputs!E41="","",Inputs!E41)</f>
        <v>10746578</v>
      </c>
      <c r="F34" s="149">
        <f>IF(Inputs!F41="","",Inputs!F41)</f>
        <v>11919298</v>
      </c>
      <c r="G34" s="149">
        <f>IF(Inputs!G41="","",Inputs!G41)</f>
        <v>9822624</v>
      </c>
      <c r="H34" s="149">
        <f>IF(Inputs!H41="","",Inputs!H41)</f>
        <v>8995456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99525</v>
      </c>
      <c r="D35" s="149" t="str">
        <f>IF(Inputs!D42="","",Inputs!D42)</f>
        <v/>
      </c>
      <c r="E35" s="149">
        <f>IF(Inputs!E42="","",Inputs!E42)</f>
        <v>100450</v>
      </c>
      <c r="F35" s="149">
        <f>IF(Inputs!F42="","",Inputs!F42)</f>
        <v>147008</v>
      </c>
      <c r="G35" s="149">
        <f>IF(Inputs!G42="","",Inputs!G42)</f>
        <v>138319</v>
      </c>
      <c r="H35" s="149">
        <f>IF(Inputs!H42="","",Inputs!H42)</f>
        <v>29199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3874817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0.59283762583788169</v>
      </c>
      <c r="D40" s="156">
        <f t="shared" si="34"/>
        <v>0.33465932495691675</v>
      </c>
      <c r="E40" s="156">
        <f t="shared" si="34"/>
        <v>0.54210141828956737</v>
      </c>
      <c r="F40" s="156">
        <f t="shared" si="34"/>
        <v>0.75293190943169552</v>
      </c>
      <c r="G40" s="156">
        <f t="shared" si="34"/>
        <v>0.48901641289501657</v>
      </c>
      <c r="H40" s="156">
        <f t="shared" si="34"/>
        <v>0.90423111431393977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-0.1364934950276068</v>
      </c>
      <c r="D46" s="289">
        <f t="shared" si="40"/>
        <v>0.36472728932016257</v>
      </c>
      <c r="E46" s="289">
        <f t="shared" si="40"/>
        <v>0.1085377701498957</v>
      </c>
      <c r="F46" s="289">
        <f t="shared" si="40"/>
        <v>-0.21781558225922074</v>
      </c>
      <c r="G46" s="289">
        <f t="shared" si="40"/>
        <v>-0.14172500763713389</v>
      </c>
      <c r="H46" s="289">
        <f t="shared" si="40"/>
        <v>-5.5712117668955839E-3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6.155741132759824E-2</v>
      </c>
      <c r="D48" s="159" t="e">
        <f t="shared" si="41"/>
        <v>#VALUE!</v>
      </c>
      <c r="E48" s="159">
        <f t="shared" si="41"/>
        <v>9.3955936044949243E-2</v>
      </c>
      <c r="F48" s="159">
        <f t="shared" si="41"/>
        <v>5.5935132888871385E-2</v>
      </c>
      <c r="G48" s="159">
        <f t="shared" si="41"/>
        <v>3.9168121784081737E-2</v>
      </c>
      <c r="H48" s="159">
        <f t="shared" si="41"/>
        <v>0.17833670386216965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0.70061937982864941</v>
      </c>
      <c r="D53" s="156" t="str">
        <f t="shared" si="45"/>
        <v/>
      </c>
      <c r="E53" s="156">
        <f t="shared" si="45"/>
        <v>0.83702173541468239</v>
      </c>
      <c r="F53" s="156">
        <f t="shared" si="45"/>
        <v>0.93289066231307283</v>
      </c>
      <c r="G53" s="156">
        <f t="shared" si="45"/>
        <v>0.95764871616419378</v>
      </c>
      <c r="H53" s="156">
        <f t="shared" si="45"/>
        <v>0.95389639977731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-3.7205254132597308E-2</v>
      </c>
      <c r="D54" s="160" t="str">
        <f t="shared" si="46"/>
        <v/>
      </c>
      <c r="E54" s="160">
        <f t="shared" si="46"/>
        <v>4.9374134707878138E-2</v>
      </c>
      <c r="F54" s="160">
        <f t="shared" si="46"/>
        <v>-9.5060791025285904E-2</v>
      </c>
      <c r="G54" s="160">
        <f t="shared" si="46"/>
        <v>-6.0528492146585566E-2</v>
      </c>
      <c r="H54" s="160">
        <f t="shared" si="46"/>
        <v>-9.054419592216631E-2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-1.4817970677921163E-3</v>
      </c>
      <c r="D58" s="162" t="e">
        <f t="shared" si="49"/>
        <v>#VALUE!</v>
      </c>
      <c r="E58" s="162">
        <f t="shared" si="49"/>
        <v>1.9166498843523203E-2</v>
      </c>
      <c r="F58" s="162">
        <f t="shared" si="49"/>
        <v>-6.5049365926255643E-3</v>
      </c>
      <c r="G58" s="162">
        <f t="shared" si="49"/>
        <v>-2.9716123149776882E-3</v>
      </c>
      <c r="H58" s="162">
        <f t="shared" si="49"/>
        <v>-4.0596650307926706E-4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-1.19925118528848E-2</v>
      </c>
      <c r="D59" s="162" t="e">
        <f t="shared" si="50"/>
        <v>#VALUE!</v>
      </c>
      <c r="E59" s="162">
        <f t="shared" si="50"/>
        <v>1.2183396630211472E-2</v>
      </c>
      <c r="F59" s="162">
        <f t="shared" si="50"/>
        <v>-1.3059990876881219E-2</v>
      </c>
      <c r="G59" s="162">
        <f t="shared" si="50"/>
        <v>-5.7965956256024569E-3</v>
      </c>
      <c r="H59" s="162">
        <f t="shared" si="50"/>
        <v>-1.0415717506201305E-3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10154883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10055358</v>
      </c>
      <c r="K3" s="75"/>
    </row>
    <row r="4" spans="1:11" ht="15" customHeight="1" x14ac:dyDescent="0.35">
      <c r="B4" s="9" t="s">
        <v>22</v>
      </c>
      <c r="C4" s="3"/>
      <c r="D4" s="149">
        <f>Inputs!C42</f>
        <v>99525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2681876.3000000007</v>
      </c>
      <c r="E6" s="176">
        <f>1-D6/D3</f>
        <v>0.73590278686618049</v>
      </c>
      <c r="F6" s="3"/>
      <c r="G6" s="3"/>
      <c r="H6" s="2" t="s">
        <v>25</v>
      </c>
      <c r="I6" s="174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0.36808545385130298</v>
      </c>
      <c r="E7" s="173" t="str">
        <f>Dashboard!H3</f>
        <v>HKD</v>
      </c>
      <c r="H7" s="2" t="s">
        <v>26</v>
      </c>
      <c r="I7" s="174">
        <f>C24/I28</f>
        <v>3.7637452718842774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4022618</v>
      </c>
      <c r="D11" s="264">
        <f>Inputs!D48</f>
        <v>0.9</v>
      </c>
      <c r="E11" s="182">
        <f t="shared" ref="E11:E22" si="0">C11*D11</f>
        <v>3620356.2</v>
      </c>
      <c r="F11" s="266"/>
      <c r="G11" s="3"/>
      <c r="H11" s="9" t="s">
        <v>32</v>
      </c>
      <c r="I11" s="181">
        <f>Inputs!C73</f>
        <v>30697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143877</v>
      </c>
      <c r="J12" s="3"/>
      <c r="K12" s="75"/>
    </row>
    <row r="13" spans="1:11" ht="11.65" x14ac:dyDescent="0.35">
      <c r="B13" s="9" t="s">
        <v>108</v>
      </c>
      <c r="C13" s="181">
        <f>Inputs!C50</f>
        <v>649112</v>
      </c>
      <c r="D13" s="264">
        <f>Inputs!D50</f>
        <v>0.6</v>
      </c>
      <c r="E13" s="182">
        <f t="shared" si="0"/>
        <v>389467.2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222396</v>
      </c>
      <c r="J14" s="3"/>
      <c r="K14" s="185"/>
    </row>
    <row r="15" spans="1:11" ht="11.65" x14ac:dyDescent="0.35">
      <c r="B15" s="9" t="s">
        <v>37</v>
      </c>
      <c r="C15" s="181">
        <f>Inputs!C52</f>
        <v>171402</v>
      </c>
      <c r="D15" s="264">
        <f>Inputs!D52</f>
        <v>0.5</v>
      </c>
      <c r="E15" s="182">
        <f t="shared" si="0"/>
        <v>85701</v>
      </c>
      <c r="F15" s="266"/>
      <c r="G15" s="3"/>
      <c r="H15" s="2" t="s">
        <v>47</v>
      </c>
      <c r="I15" s="186">
        <f>SUM(I11:I14)</f>
        <v>396970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844275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4671730</v>
      </c>
      <c r="D24" s="191">
        <f>IF(E24=0,0,E24/C24)</f>
        <v>0.85831659791982851</v>
      </c>
      <c r="E24" s="182">
        <f>SUM(E11:E14)</f>
        <v>4009823.4000000004</v>
      </c>
      <c r="F24" s="192">
        <f>E24/$E$28</f>
        <v>0.97907447456545493</v>
      </c>
      <c r="G24" s="3"/>
    </row>
    <row r="25" spans="2:10" ht="15" customHeight="1" x14ac:dyDescent="0.35">
      <c r="B25" s="189" t="s">
        <v>48</v>
      </c>
      <c r="C25" s="190">
        <f>SUM(C15:C17)</f>
        <v>171402</v>
      </c>
      <c r="D25" s="191">
        <f>IF(E25=0,0,E25/C25)</f>
        <v>0.5</v>
      </c>
      <c r="E25" s="182">
        <f>SUM(E15:E17)</f>
        <v>85701</v>
      </c>
      <c r="F25" s="192">
        <f>E25/$E$28</f>
        <v>2.0925525434545084E-2</v>
      </c>
      <c r="G25" s="3"/>
      <c r="H25" s="189" t="s">
        <v>49</v>
      </c>
      <c r="I25" s="174">
        <f>E28/I28</f>
        <v>3.2995294240863009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10.10107413658463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3.2995294240863009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4843132</v>
      </c>
      <c r="D28" s="196">
        <f>E28/C28</f>
        <v>0.84563551024419747</v>
      </c>
      <c r="E28" s="197">
        <f>SUM(E24:E27)</f>
        <v>4095524.4000000004</v>
      </c>
      <c r="F28" s="92"/>
      <c r="G28" s="3"/>
      <c r="H28" s="194" t="s">
        <v>16</v>
      </c>
      <c r="I28" s="167">
        <f>Inputs!C77</f>
        <v>1241245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1075543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1679438</v>
      </c>
      <c r="J31" s="3"/>
    </row>
    <row r="32" spans="2:10" ht="15" customHeight="1" x14ac:dyDescent="0.35">
      <c r="B32" s="9" t="s">
        <v>58</v>
      </c>
      <c r="C32" s="181">
        <f>Inputs!C62</f>
        <v>4626423</v>
      </c>
      <c r="D32" s="264">
        <f>Inputs!D62</f>
        <v>0.5</v>
      </c>
      <c r="E32" s="182">
        <f t="shared" si="1"/>
        <v>2313211.5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89231</v>
      </c>
      <c r="J33" s="3"/>
    </row>
    <row r="34" spans="2:10" ht="11.65" x14ac:dyDescent="0.35">
      <c r="B34" s="9" t="s">
        <v>61</v>
      </c>
      <c r="C34" s="181">
        <f>Inputs!C64</f>
        <v>103165</v>
      </c>
      <c r="D34" s="264">
        <f>Inputs!D64</f>
        <v>0.4</v>
      </c>
      <c r="E34" s="182">
        <f t="shared" si="1"/>
        <v>41266</v>
      </c>
      <c r="F34" s="266"/>
      <c r="G34" s="3"/>
      <c r="H34" s="2" t="s">
        <v>71</v>
      </c>
      <c r="I34" s="186">
        <f>SUM(I30:I33)</f>
        <v>2844212</v>
      </c>
      <c r="J34" s="3"/>
    </row>
    <row r="35" spans="2:10" ht="11.65" x14ac:dyDescent="0.35">
      <c r="B35" s="9" t="s">
        <v>63</v>
      </c>
      <c r="C35" s="181">
        <f>Inputs!C65</f>
        <v>781196</v>
      </c>
      <c r="D35" s="264">
        <f>Inputs!D65</f>
        <v>0.1</v>
      </c>
      <c r="E35" s="182">
        <f t="shared" si="1"/>
        <v>78119.600000000006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875642</v>
      </c>
      <c r="D36" s="264">
        <f>Inputs!D66</f>
        <v>0.2</v>
      </c>
      <c r="E36" s="182">
        <f t="shared" si="1"/>
        <v>175128.40000000002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2545809</v>
      </c>
      <c r="D38" s="264">
        <f>Inputs!D68</f>
        <v>0.1</v>
      </c>
      <c r="E38" s="182">
        <f t="shared" si="1"/>
        <v>254580.90000000002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23095</v>
      </c>
      <c r="D41" s="264">
        <f>Inputs!D71</f>
        <v>0.9</v>
      </c>
      <c r="E41" s="182">
        <f t="shared" si="1"/>
        <v>20785.5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553636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5510784</v>
      </c>
      <c r="D45" s="191">
        <f>IF(E45=0,0,E45/C45)</f>
        <v>0.4414248680405547</v>
      </c>
      <c r="E45" s="182">
        <f>SUM(E32:E35)</f>
        <v>2432597.1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3421451</v>
      </c>
      <c r="D46" s="191">
        <f>IF(E46=0,0,E46/C46)</f>
        <v>0.12559270905823292</v>
      </c>
      <c r="E46" s="182">
        <f>E36+E37+E38+E39</f>
        <v>429709.30000000005</v>
      </c>
      <c r="F46" s="3"/>
      <c r="G46" s="3"/>
      <c r="H46" s="189" t="s">
        <v>74</v>
      </c>
      <c r="I46" s="174">
        <f>(E44+E24)/E64</f>
        <v>1.2371484847194636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576731</v>
      </c>
      <c r="D47" s="191">
        <f>IF(E47=0,0,E47/C47)</f>
        <v>3.6040198983581601E-2</v>
      </c>
      <c r="E47" s="182">
        <f>E40+E41+E42</f>
        <v>20785.5</v>
      </c>
      <c r="F47" s="3"/>
      <c r="G47" s="3"/>
      <c r="H47" s="189" t="s">
        <v>76</v>
      </c>
      <c r="I47" s="174">
        <f>(E44+E45+E24+E25)/$I$49</f>
        <v>1.5553459853736347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9508966</v>
      </c>
      <c r="D48" s="201">
        <f>E48/C48</f>
        <v>0.30319720356556118</v>
      </c>
      <c r="E48" s="202">
        <f>SUM(E30:E42)</f>
        <v>2883091.9</v>
      </c>
      <c r="F48" s="3"/>
      <c r="G48" s="3"/>
      <c r="H48" s="96" t="s">
        <v>78</v>
      </c>
      <c r="I48" s="203">
        <f>I49-I28</f>
        <v>2955970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14352098</v>
      </c>
      <c r="D49" s="176">
        <f>E49/C49</f>
        <v>0.48624363490271599</v>
      </c>
      <c r="E49" s="182">
        <f>E28+E48</f>
        <v>6978616.3000000007</v>
      </c>
      <c r="F49" s="3"/>
      <c r="G49" s="3"/>
      <c r="H49" s="9" t="s">
        <v>79</v>
      </c>
      <c r="I49" s="181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99525</v>
      </c>
      <c r="D53" s="34">
        <f>IF(E53=0, 0,E53/C53)</f>
        <v>1</v>
      </c>
      <c r="E53" s="182">
        <f>IF(C53=0,0,MAX(C53,C53*Dashboard!G23))</f>
        <v>99525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3241182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6454663</v>
      </c>
      <c r="D61" s="176">
        <f t="shared" ref="D61:D70" si="2">IF(E61=0,0,E61/C61)</f>
        <v>0.41089062279471444</v>
      </c>
      <c r="E61" s="188">
        <f>E14+E15+(E19*G19)+(E20*G20)+E31+E32+(E35*G35)+(E36*G36)+(E37*G37)</f>
        <v>2652160.5</v>
      </c>
      <c r="F61" s="3"/>
      <c r="G61" s="3"/>
      <c r="H61" s="2" t="s">
        <v>257</v>
      </c>
      <c r="I61" s="209">
        <f>C99*Data!$C$4/Common_Shares</f>
        <v>0.38174518334537061</v>
      </c>
      <c r="K61" s="178"/>
    </row>
    <row r="62" spans="2:11" ht="11.65" x14ac:dyDescent="0.35">
      <c r="B62" s="12" t="s">
        <v>130</v>
      </c>
      <c r="C62" s="210">
        <f>C11+C30</f>
        <v>4022618</v>
      </c>
      <c r="D62" s="211">
        <f t="shared" si="2"/>
        <v>0.9</v>
      </c>
      <c r="E62" s="212">
        <f>E11+E30</f>
        <v>3620356.2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10477281</v>
      </c>
      <c r="D63" s="34">
        <f t="shared" si="2"/>
        <v>0.59867791080529387</v>
      </c>
      <c r="E63" s="190">
        <f>E61+E62</f>
        <v>6272516.7000000002</v>
      </c>
      <c r="F63" s="3"/>
      <c r="G63" s="3"/>
      <c r="H63" s="2" t="s">
        <v>258</v>
      </c>
      <c r="I63" s="213">
        <f>IF(I61&gt;0,FV(I62,D93,0,-I61),I61)</f>
        <v>0.40285140106963685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3241182</v>
      </c>
      <c r="F64" s="3"/>
      <c r="G64" s="3"/>
      <c r="H64" s="2" t="s">
        <v>259</v>
      </c>
      <c r="I64" s="213">
        <f>IF(I61&gt;0,PV(C94,D93,0,-I63),I61)</f>
        <v>0.26488133546125553</v>
      </c>
      <c r="K64" s="178"/>
    </row>
    <row r="65" spans="1:11" ht="12" thickTop="1" x14ac:dyDescent="0.35">
      <c r="B65" s="9" t="s">
        <v>133</v>
      </c>
      <c r="C65" s="208">
        <f>C63-E64</f>
        <v>7236099</v>
      </c>
      <c r="D65" s="34">
        <f t="shared" si="2"/>
        <v>0.41891835642381348</v>
      </c>
      <c r="E65" s="190">
        <f>E63-E64</f>
        <v>3031334.7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3874817</v>
      </c>
      <c r="D68" s="34">
        <f t="shared" si="2"/>
        <v>0.18222785747043035</v>
      </c>
      <c r="E68" s="208">
        <f>E49-E63</f>
        <v>706099.60000000056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956033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2918784</v>
      </c>
      <c r="D70" s="34">
        <f t="shared" si="2"/>
        <v>-8.5629289457527333E-2</v>
      </c>
      <c r="E70" s="208">
        <f>E68-E69</f>
        <v>-249933.39999999944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883478</v>
      </c>
      <c r="D74" s="103"/>
      <c r="E74" s="262">
        <f>Inputs!E91</f>
        <v>883478</v>
      </c>
      <c r="F74" s="103"/>
      <c r="H74" s="262">
        <f>Inputs!F91</f>
        <v>883478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523759</v>
      </c>
      <c r="D75" s="106">
        <f>C75/$C$74</f>
        <v>0.59283762583788169</v>
      </c>
      <c r="E75" s="262">
        <f>Inputs!E92</f>
        <v>523759.00000000006</v>
      </c>
      <c r="F75" s="217">
        <f>E75/E74</f>
        <v>0.59283762583788169</v>
      </c>
      <c r="H75" s="262">
        <f>Inputs!F92</f>
        <v>523759.00000000006</v>
      </c>
      <c r="I75" s="217">
        <f>H75/$H$74</f>
        <v>0.59283762583788169</v>
      </c>
      <c r="K75" s="75"/>
    </row>
    <row r="76" spans="1:11" ht="15" customHeight="1" x14ac:dyDescent="0.35">
      <c r="B76" s="12" t="s">
        <v>88</v>
      </c>
      <c r="C76" s="150">
        <f>C74-C75</f>
        <v>359719</v>
      </c>
      <c r="D76" s="218"/>
      <c r="E76" s="219">
        <f>E74-E75</f>
        <v>359718.99999999994</v>
      </c>
      <c r="F76" s="218"/>
      <c r="H76" s="219">
        <f>H74-H75</f>
        <v>359718.99999999994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299979</v>
      </c>
      <c r="D77" s="106">
        <f>C77/$C$74</f>
        <v>0.33954325970765542</v>
      </c>
      <c r="E77" s="262">
        <f>Inputs!E93</f>
        <v>299979</v>
      </c>
      <c r="F77" s="217">
        <f>E77/E74</f>
        <v>0.33954325970765542</v>
      </c>
      <c r="H77" s="262">
        <f>Inputs!F93</f>
        <v>299979</v>
      </c>
      <c r="I77" s="217">
        <f>H77/$H$74</f>
        <v>0.33954325970765542</v>
      </c>
      <c r="K77" s="75"/>
    </row>
    <row r="78" spans="1:11" ht="15" customHeight="1" x14ac:dyDescent="0.35">
      <c r="B78" s="98" t="s">
        <v>153</v>
      </c>
      <c r="C78" s="102">
        <f>MAX(Data!C12,0)</f>
        <v>74640</v>
      </c>
      <c r="D78" s="106">
        <f>C78/$C$74</f>
        <v>8.4484276914648701E-2</v>
      </c>
      <c r="E78" s="220">
        <f>E74*F78</f>
        <v>74640</v>
      </c>
      <c r="F78" s="217">
        <f>I78</f>
        <v>8.4484276914648701E-2</v>
      </c>
      <c r="H78" s="262">
        <f>Inputs!F97</f>
        <v>74640</v>
      </c>
      <c r="I78" s="217">
        <f>H78/$H$74</f>
        <v>8.4484276914648701E-2</v>
      </c>
      <c r="K78" s="75"/>
    </row>
    <row r="79" spans="1:11" ht="15" customHeight="1" x14ac:dyDescent="0.35">
      <c r="B79" s="221" t="s">
        <v>206</v>
      </c>
      <c r="C79" s="222">
        <f>C76-C77-C78</f>
        <v>-14900</v>
      </c>
      <c r="D79" s="223">
        <f>C79/C74</f>
        <v>-1.6865162460185767E-2</v>
      </c>
      <c r="E79" s="224">
        <f>E76-E77-E78</f>
        <v>-14900.000000000058</v>
      </c>
      <c r="F79" s="223">
        <f>E79/E74</f>
        <v>-1.6865162460185833E-2</v>
      </c>
      <c r="G79" s="225"/>
      <c r="H79" s="224">
        <f>H76-H77-H78</f>
        <v>-14900.000000000058</v>
      </c>
      <c r="I79" s="223">
        <f>H79/H74</f>
        <v>-1.6865162460185833E-2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105689</v>
      </c>
      <c r="D81" s="106">
        <f>C81/$C$74</f>
        <v>0.11962833256742103</v>
      </c>
      <c r="E81" s="220">
        <f>E74*F81</f>
        <v>105689</v>
      </c>
      <c r="F81" s="217">
        <f>I81</f>
        <v>0.11962833256742103</v>
      </c>
      <c r="H81" s="262">
        <f>Inputs!F94</f>
        <v>105689</v>
      </c>
      <c r="I81" s="217">
        <f>H81/$H$74</f>
        <v>0.11962833256742103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-120589</v>
      </c>
      <c r="D83" s="229">
        <f>C83/$C$74</f>
        <v>-0.1364934950276068</v>
      </c>
      <c r="E83" s="230">
        <f>E79-E81-E82-E80</f>
        <v>-120589.00000000006</v>
      </c>
      <c r="F83" s="229">
        <f>E83/E74</f>
        <v>-0.13649349502760685</v>
      </c>
      <c r="H83" s="230">
        <f>H79-H81-H82-H80</f>
        <v>-120589.00000000006</v>
      </c>
      <c r="I83" s="229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-90441.75</v>
      </c>
      <c r="D85" s="223">
        <f>C85/$C$74</f>
        <v>-0.10237012127070511</v>
      </c>
      <c r="E85" s="235">
        <f>E83*(1-F84)</f>
        <v>-90441.750000000044</v>
      </c>
      <c r="F85" s="223">
        <f>E85/E74</f>
        <v>-0.10237012127070515</v>
      </c>
      <c r="G85" s="225"/>
      <c r="H85" s="235">
        <f>H83*(1-I84)</f>
        <v>-90441.750000000044</v>
      </c>
      <c r="I85" s="223">
        <f>H85/$H$74</f>
        <v>-0.10237012127070515</v>
      </c>
      <c r="K85" s="75"/>
    </row>
    <row r="86" spans="1:11" ht="15" customHeight="1" x14ac:dyDescent="0.35">
      <c r="B86" s="3" t="s">
        <v>146</v>
      </c>
      <c r="C86" s="236">
        <f>C85*Data!C4/Common_Shares</f>
        <v>-1.2413060436775578E-2</v>
      </c>
      <c r="D86" s="103"/>
      <c r="E86" s="237">
        <f>E85*Data!C4/Common_Shares</f>
        <v>-1.2413060436775583E-2</v>
      </c>
      <c r="F86" s="103"/>
      <c r="H86" s="237">
        <f>H85*Data!C4/Common_Shares</f>
        <v>-1.2413060436775583E-2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-1.2051514987160755E-2</v>
      </c>
      <c r="D87" s="103"/>
      <c r="E87" s="239">
        <f>E86*Exchange_Rate/Dashboard!G3</f>
        <v>-1.205151498716076E-2</v>
      </c>
      <c r="F87" s="103"/>
      <c r="H87" s="239">
        <f>H86*Exchange_Rate/Dashboard!G3</f>
        <v>-1.205151498716076E-2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5.4800000000000001E-2</v>
      </c>
      <c r="D88" s="241">
        <f>C88/C86</f>
        <v>-4.4147050019708818</v>
      </c>
      <c r="E88" s="261">
        <f>Inputs!E98</f>
        <v>5.4800000000000001E-2</v>
      </c>
      <c r="F88" s="241">
        <f>E88/E86</f>
        <v>-4.41470500197088</v>
      </c>
      <c r="H88" s="261">
        <f>Inputs!F98</f>
        <v>5.4800000000000001E-2</v>
      </c>
      <c r="I88" s="241">
        <f>H88/H86</f>
        <v>-4.41470500197088</v>
      </c>
      <c r="K88" s="75"/>
    </row>
    <row r="89" spans="1:11" ht="15" customHeight="1" x14ac:dyDescent="0.35">
      <c r="B89" s="3" t="s">
        <v>196</v>
      </c>
      <c r="C89" s="238">
        <f>C88*Exchange_Rate/Dashboard!G3</f>
        <v>5.3203883495145633E-2</v>
      </c>
      <c r="D89" s="103"/>
      <c r="E89" s="238">
        <f>E88*Exchange_Rate/Dashboard!G3</f>
        <v>5.3203883495145633E-2</v>
      </c>
      <c r="F89" s="103"/>
      <c r="H89" s="238">
        <f>H88*Exchange_Rate/Dashboard!G3</f>
        <v>5.3203883495145633E-2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185</v>
      </c>
      <c r="F93" s="243">
        <f>FV(E87,D93,0,-(E86/(C93-D94)))*Exchange_Rate</f>
        <v>-0.18067409418655012</v>
      </c>
      <c r="H93" s="3" t="s">
        <v>185</v>
      </c>
      <c r="I93" s="243">
        <f>FV(H87,D93,0,-(H86/(C93-D94)))*Exchange_Rate</f>
        <v>-0.18067409418655012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0.96634461602075794</v>
      </c>
      <c r="H94" s="3" t="s">
        <v>186</v>
      </c>
      <c r="I94" s="243">
        <f>FV(H89,D93,0,-(H88/(C93-D94)))*Exchange_Rate</f>
        <v>0.96634461602075794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-865550.58098214434</v>
      </c>
      <c r="D97" s="250"/>
      <c r="E97" s="251">
        <f>PV(C94,D93,0,-F93)</f>
        <v>-0.11879614970760265</v>
      </c>
      <c r="F97" s="250"/>
      <c r="H97" s="251">
        <f>PV(C94,D93,0,-I93)</f>
        <v>-0.11879614970760265</v>
      </c>
      <c r="I97" s="251">
        <f>PV(C93,D93,0,-I93)</f>
        <v>-0.1409634491473139</v>
      </c>
      <c r="K97" s="75"/>
    </row>
    <row r="98" spans="2:11" ht="15" customHeight="1" x14ac:dyDescent="0.35">
      <c r="B98" s="18" t="s">
        <v>135</v>
      </c>
      <c r="C98" s="249">
        <f>-E53*Exchange_Rate</f>
        <v>-99525</v>
      </c>
      <c r="D98" s="250"/>
      <c r="E98" s="250"/>
      <c r="F98" s="250"/>
      <c r="H98" s="251">
        <f>C98*Data!$C$4/Common_Shares</f>
        <v>-1.365972949406761E-2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2781401.3000000007</v>
      </c>
      <c r="D99" s="254"/>
      <c r="E99" s="255">
        <f>IF(H99&gt;0,I64,H99)</f>
        <v>0.26488133546125553</v>
      </c>
      <c r="F99" s="254"/>
      <c r="H99" s="255">
        <f>I64</f>
        <v>0.26488133546125553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0.11256163782064747</v>
      </c>
      <c r="E100" s="257">
        <f>MAX(E97+H98+E99,0)</f>
        <v>0.13242545625958527</v>
      </c>
      <c r="F100" s="257">
        <f>(E100+H100)/2</f>
        <v>0.13242545625958527</v>
      </c>
      <c r="H100" s="257">
        <f>MAX(H97+H98+H99,0)</f>
        <v>0.13242545625958527</v>
      </c>
      <c r="I100" s="257">
        <f>MAX(I97+H98+H99,0)</f>
        <v>0.11025815681987403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0.54007918048336945</v>
      </c>
      <c r="E103" s="251">
        <f>PV(C94,D93,0,-F94)</f>
        <v>0.63538727115690519</v>
      </c>
      <c r="F103" s="257">
        <f>(E103+H103)/2</f>
        <v>0.63538727115690519</v>
      </c>
      <c r="H103" s="251">
        <f>PV(C94,D93,0,-I94)</f>
        <v>0.63538727115690519</v>
      </c>
      <c r="I103" s="257">
        <f>PV(C93,D93,0,-I94)</f>
        <v>0.75395020383261591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0.32632040915200844</v>
      </c>
      <c r="E106" s="251">
        <f>(E100+E103)/2</f>
        <v>0.38390636370824521</v>
      </c>
      <c r="F106" s="257">
        <f>(F100+F103)/2</f>
        <v>0.38390636370824521</v>
      </c>
      <c r="H106" s="251">
        <f>(H100+H103)/2</f>
        <v>0.38390636370824521</v>
      </c>
      <c r="I106" s="251">
        <f>(I100+I103)/2</f>
        <v>0.43210418032624498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