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4343A2-7224-4D7D-A213-47BC867003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D93" i="3"/>
  <c r="F95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<sst xmlns="http://schemas.openxmlformats.org/spreadsheetml/2006/main" count="404" uniqueCount="287">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</sst>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45624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777416974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0.16500000000000001</v>
      </c>
      <c r="D16" s="75" t="s">
        <v>283</v>
      </c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1487090</v>
      </c>
      <c r="D25" s="80">
        <v>1462864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692542</v>
      </c>
      <c r="D26" s="82">
        <v>723325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533247+84045+112812</f>
        <v>730104</v>
      </c>
      <c r="D27" s="82">
        <f>468717+87819+109122</f>
        <v>665658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287520-228742</f>
        <v>58778</v>
      </c>
      <c r="D31" s="82">
        <f>283189-244840</f>
        <v>38349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45846+161146+2947</f>
        <v>209939</v>
      </c>
      <c r="D32" s="82">
        <f>42318+145169+2947</f>
        <v>190434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38027</v>
      </c>
      <c r="D33" s="82">
        <v>60606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0.02+0.04</f>
        <v>0.06</v>
      </c>
      <c r="D44" s="86">
        <f>0.05+0.02</f>
        <v>7.0000000000000007E-2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0.14634146341463414</v>
      </c>
      <c r="D45" s="87">
        <f>IF(D44="","",D44*Exchange_Rate/Dashboard!$G$3)</f>
        <v>0.17073170731707318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220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1487090</v>
      </c>
      <c r="D91" s="103"/>
      <c r="E91" s="104">
        <f>C91</f>
        <v>1487090</v>
      </c>
      <c r="F91" s="104">
        <f>C91</f>
        <v>1487090</v>
      </c>
    </row>
    <row r="92" spans="2:8" x14ac:dyDescent="0.35">
      <c r="B92" s="105" t="s">
        <v>98</v>
      </c>
      <c r="C92" s="102">
        <f>C26</f>
        <v>692542</v>
      </c>
      <c r="D92" s="106">
        <f>C92/C91</f>
        <v>0.46570281556597115</v>
      </c>
      <c r="E92" s="107">
        <f>E91*D92</f>
        <v>692542</v>
      </c>
      <c r="F92" s="107">
        <f>F91*D92</f>
        <v>692542</v>
      </c>
    </row>
    <row r="93" spans="2:8" x14ac:dyDescent="0.35">
      <c r="B93" s="105" t="s">
        <v>219</v>
      </c>
      <c r="C93" s="102">
        <f>C27+C28</f>
        <v>730104</v>
      </c>
      <c r="D93" s="106">
        <f>C93/C91</f>
        <v>0.49096154234108225</v>
      </c>
      <c r="E93" s="107">
        <f>E91*D93</f>
        <v>730104</v>
      </c>
      <c r="F93" s="107">
        <f>F91*D93</f>
        <v>730104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171912</v>
      </c>
      <c r="D95" s="106">
        <f>C95/C91</f>
        <v>0.11560295610891069</v>
      </c>
      <c r="E95" s="107">
        <f>E91*D95</f>
        <v>171912</v>
      </c>
      <c r="F95" s="107">
        <f>F91*D95</f>
        <v>171912</v>
      </c>
    </row>
    <row r="96" spans="2:8" x14ac:dyDescent="0.35">
      <c r="B96" s="18" t="s">
        <v>102</v>
      </c>
      <c r="C96" s="102">
        <f>MAX(C31,0)</f>
        <v>58778</v>
      </c>
      <c r="D96" s="106">
        <f>C96/C91</f>
        <v>3.9525516276755275E-2</v>
      </c>
      <c r="E96" s="108"/>
      <c r="F96" s="107">
        <f>F91*D96</f>
        <v>58778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0.06</v>
      </c>
      <c r="D98" s="110"/>
      <c r="E98" s="111">
        <v>0</v>
      </c>
      <c r="F98" s="111">
        <f>C98</f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0831.HK</v>
      </c>
      <c r="D3" s="316"/>
      <c r="E3" s="3"/>
      <c r="F3" s="9" t="s">
        <v>1</v>
      </c>
      <c r="G3" s="10">
        <v>0.41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利亞零售</v>
      </c>
      <c r="D4" s="318"/>
      <c r="E4" s="3"/>
      <c r="F4" s="9" t="s">
        <v>3</v>
      </c>
      <c r="G4" s="321">
        <f>Inputs!C10</f>
        <v>777416974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45624</v>
      </c>
      <c r="D5" s="320"/>
      <c r="E5" s="16"/>
      <c r="F5" s="12" t="s">
        <v>92</v>
      </c>
      <c r="G5" s="313">
        <f>G3*G4/1000000</f>
        <v>318.74095933999996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-2.2961496806442452</v>
      </c>
    </row>
    <row r="25" spans="1:8" ht="15.75" customHeight="1" x14ac:dyDescent="0.35">
      <c r="B25" s="28" t="s">
        <v>243</v>
      </c>
      <c r="C25" s="44">
        <f>Fin_Analysis!I80</f>
        <v>3.9525516276755275E-2</v>
      </c>
      <c r="F25" s="39" t="s">
        <v>154</v>
      </c>
      <c r="G25" s="44">
        <f>Fin_Analysis!I88</f>
        <v>-0.33602190448452368</v>
      </c>
    </row>
    <row r="26" spans="1:8" ht="15.75" customHeight="1" x14ac:dyDescent="0.35">
      <c r="B26" s="45" t="s">
        <v>244</v>
      </c>
      <c r="C26" s="44">
        <f>Fin_Analysis!I80+Fin_Analysis!I82</f>
        <v>0.15512847238566596</v>
      </c>
      <c r="F26" s="46" t="s">
        <v>169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0.67933550808541998</v>
      </c>
      <c r="E29" s="3"/>
      <c r="F29" s="55">
        <f>IF(Fin_Analysis!C108="Profit",Fin_Analysis!F100,IF(Fin_Analysis!C108="Dividend",Fin_Analysis!F103,Fin_Analysis!F106))</f>
        <v>0.24506878070542615</v>
      </c>
      <c r="G29" s="312">
        <f>IF(Fin_Analysis!C108="Profit",Fin_Analysis!I100,IF(Fin_Analysis!C108="Dividend",Fin_Analysis!I103,Fin_Analysis!I106))</f>
        <v>0.59072652876993048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64444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1487090</v>
      </c>
      <c r="D6" s="147">
        <f>IF(Inputs!D25="","",Inputs!D25)</f>
        <v>1462864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1.6560664559384985E-2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692542</v>
      </c>
      <c r="D8" s="149">
        <f>IF(Inputs!D26="","",Inputs!D26)</f>
        <v>723325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794548</v>
      </c>
      <c r="D9" s="279">
        <f t="shared" si="2"/>
        <v>739539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730104</v>
      </c>
      <c r="D10" s="149">
        <f>IF(Inputs!D27="","",Inputs!D27)</f>
        <v>665658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4.333564209294663E-2</v>
      </c>
      <c r="D13" s="300">
        <f t="shared" si="3"/>
        <v>5.0504353104594821E-2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64444</v>
      </c>
      <c r="D14" s="302">
        <f t="shared" ref="D14:M14" si="4">IF(D6="","",D9-D10-MAX(D11,0)-MAX(D12,0))</f>
        <v>73881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-0.12773243459076081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58778</v>
      </c>
      <c r="D16" s="149">
        <f>IF(Inputs!D31="","",Inputs!D31)</f>
        <v>38349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0.14117437411320094</v>
      </c>
      <c r="D18" s="233">
        <f t="shared" si="6"/>
        <v>0.13017888197399075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209939</v>
      </c>
      <c r="D19" s="149">
        <f>IF(Inputs!D32="","",Inputs!D32)</f>
        <v>190434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2.5571418004290258E-2</v>
      </c>
      <c r="D20" s="233">
        <f t="shared" si="7"/>
        <v>4.1429688610834639E-2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38027</v>
      </c>
      <c r="D21" s="149">
        <f>IF(Inputs!D33="","",Inputs!D33)</f>
        <v>60606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-166246</v>
      </c>
      <c r="D22" s="283">
        <f t="shared" ref="D22:M22" si="8">IF(D6="","",D14-MAX(D16,0)-MAX(D17,0)-ABS(MAX(D21,0)-MAX(D19,0)))</f>
        <v>-94296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-9.3347013294420647E-2</v>
      </c>
      <c r="D23" s="148">
        <f t="shared" si="9"/>
        <v>-5.3823978168852336E-2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-138815.41</v>
      </c>
      <c r="D24" s="282">
        <f>IF(D6="","",D22*(1-Fin_Analysis!$I$84))</f>
        <v>-78737.16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-0.76302282175277847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0.46570281556597115</v>
      </c>
      <c r="D40" s="156">
        <f t="shared" si="34"/>
        <v>0.49445813144625883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-0.11179283029271934</v>
      </c>
      <c r="D46" s="289">
        <f t="shared" si="40"/>
        <v>-6.445985409443393E-2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1487090</v>
      </c>
      <c r="D74" s="103"/>
      <c r="E74" s="262">
        <f>Inputs!E91</f>
        <v>1487090</v>
      </c>
      <c r="F74" s="103"/>
      <c r="H74" s="262">
        <f>Inputs!F91</f>
        <v>1487090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692542</v>
      </c>
      <c r="D75" s="106">
        <f>C75/$C$74</f>
        <v>0.46570281556597115</v>
      </c>
      <c r="E75" s="262">
        <f>Inputs!E92</f>
        <v>692542</v>
      </c>
      <c r="F75" s="217">
        <f>E75/E74</f>
        <v>0.46570281556597115</v>
      </c>
      <c r="H75" s="262">
        <f>Inputs!F92</f>
        <v>692542</v>
      </c>
      <c r="I75" s="217">
        <f>H75/$H$74</f>
        <v>0.46570281556597115</v>
      </c>
      <c r="K75" s="75"/>
    </row>
    <row r="76" spans="1:11" ht="15" customHeight="1" x14ac:dyDescent="0.35">
      <c r="B76" s="12" t="s">
        <v>88</v>
      </c>
      <c r="C76" s="150">
        <f>C74-C75</f>
        <v>794548</v>
      </c>
      <c r="D76" s="218"/>
      <c r="E76" s="219">
        <f>E74-E75</f>
        <v>794548</v>
      </c>
      <c r="F76" s="218"/>
      <c r="H76" s="219">
        <f>H74-H75</f>
        <v>794548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730104</v>
      </c>
      <c r="D77" s="106">
        <f>C77/$C$74</f>
        <v>0.49096154234108225</v>
      </c>
      <c r="E77" s="262">
        <f>Inputs!E93</f>
        <v>730104</v>
      </c>
      <c r="F77" s="217">
        <f>E77/E74</f>
        <v>0.49096154234108225</v>
      </c>
      <c r="H77" s="262">
        <f>Inputs!F93</f>
        <v>730104</v>
      </c>
      <c r="I77" s="217">
        <f>H77/$H$74</f>
        <v>0.49096154234108225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64444</v>
      </c>
      <c r="D79" s="223">
        <f>C79/C74</f>
        <v>4.333564209294663E-2</v>
      </c>
      <c r="E79" s="224">
        <f>E76-E77-E78</f>
        <v>64444</v>
      </c>
      <c r="F79" s="223">
        <f>E79/E74</f>
        <v>4.333564209294663E-2</v>
      </c>
      <c r="G79" s="225"/>
      <c r="H79" s="224">
        <f>H76-H77-H78</f>
        <v>64444</v>
      </c>
      <c r="I79" s="223">
        <f>H79/H74</f>
        <v>4.333564209294663E-2</v>
      </c>
      <c r="K79" s="75"/>
    </row>
    <row r="80" spans="1:11" ht="15" customHeight="1" x14ac:dyDescent="0.35">
      <c r="B80" s="18" t="s">
        <v>102</v>
      </c>
      <c r="C80" s="102">
        <f>MAX(Data!C16,0)</f>
        <v>58778</v>
      </c>
      <c r="D80" s="106">
        <f>C80/$C$74</f>
        <v>3.9525516276755275E-2</v>
      </c>
      <c r="E80" s="220">
        <f>E74*F80</f>
        <v>58778</v>
      </c>
      <c r="F80" s="217">
        <f>I80</f>
        <v>3.9525516276755275E-2</v>
      </c>
      <c r="H80" s="262">
        <f>Inputs!F96</f>
        <v>58778</v>
      </c>
      <c r="I80" s="217">
        <f>H80/$H$74</f>
        <v>3.9525516276755275E-2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171912</v>
      </c>
      <c r="D82" s="106">
        <f>C82/$C$74</f>
        <v>0.11560295610891069</v>
      </c>
      <c r="E82" s="262">
        <f>Inputs!E95</f>
        <v>171912</v>
      </c>
      <c r="F82" s="217">
        <f>E82/E74</f>
        <v>0.11560295610891069</v>
      </c>
      <c r="H82" s="262">
        <f>Inputs!F95</f>
        <v>171912</v>
      </c>
      <c r="I82" s="217">
        <f>H82/$H$74</f>
        <v>0.11560295610891069</v>
      </c>
      <c r="K82" s="75"/>
    </row>
    <row r="83" spans="1:11" ht="15" customHeight="1" thickBot="1" x14ac:dyDescent="0.4">
      <c r="B83" s="227" t="s">
        <v>116</v>
      </c>
      <c r="C83" s="228">
        <f>C79-C81-C82-C80</f>
        <v>-166246</v>
      </c>
      <c r="D83" s="229">
        <f>C83/$C$74</f>
        <v>-0.11179283029271934</v>
      </c>
      <c r="E83" s="230">
        <f>E79-E81-E82-E80</f>
        <v>-166246</v>
      </c>
      <c r="F83" s="229">
        <f>E83/E74</f>
        <v>-0.11179283029271934</v>
      </c>
      <c r="H83" s="230">
        <f>H79-H81-H82-H80</f>
        <v>-166246</v>
      </c>
      <c r="I83" s="229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0.16500000000000001</v>
      </c>
      <c r="E84" s="232"/>
      <c r="F84" s="233">
        <f t="shared" ref="F84" si="3">I84</f>
        <v>0.16500000000000001</v>
      </c>
      <c r="H84" s="232"/>
      <c r="I84" s="263">
        <f>Inputs!C16</f>
        <v>0.16500000000000001</v>
      </c>
      <c r="K84" s="75"/>
    </row>
    <row r="85" spans="1:11" ht="15" customHeight="1" x14ac:dyDescent="0.35">
      <c r="B85" s="234" t="s">
        <v>149</v>
      </c>
      <c r="C85" s="222">
        <f>C83*(1-I84)</f>
        <v>-138815.41</v>
      </c>
      <c r="D85" s="223">
        <f>C85/$C$74</f>
        <v>-9.3347013294420647E-2</v>
      </c>
      <c r="E85" s="235">
        <f>E83*(1-F84)</f>
        <v>-138815.41</v>
      </c>
      <c r="F85" s="223">
        <f>E85/E74</f>
        <v>-9.3347013294420647E-2</v>
      </c>
      <c r="G85" s="225"/>
      <c r="H85" s="235">
        <f>H83*(1-I84)</f>
        <v>-138815.41</v>
      </c>
      <c r="I85" s="223">
        <f>H85/$H$74</f>
        <v>-9.3347013294420647E-2</v>
      </c>
      <c r="K85" s="75"/>
    </row>
    <row r="86" spans="1:11" ht="15" customHeight="1" x14ac:dyDescent="0.35">
      <c r="B86" s="3" t="s">
        <v>146</v>
      </c>
      <c r="C86" s="236">
        <f>C85*Data!C4/Common_Shares</f>
        <v>-0.17855978791633639</v>
      </c>
      <c r="D86" s="103"/>
      <c r="E86" s="237">
        <f>E85*Data!C4/Common_Shares</f>
        <v>-0.17855978791633639</v>
      </c>
      <c r="F86" s="103"/>
      <c r="H86" s="237">
        <f>H85*Data!C4/Common_Shares</f>
        <v>-0.17855978791633639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-0.43551167784472294</v>
      </c>
      <c r="D87" s="103"/>
      <c r="E87" s="239">
        <f>E86*Exchange_Rate/Dashboard!G3</f>
        <v>-0.43551167784472294</v>
      </c>
      <c r="F87" s="103"/>
      <c r="H87" s="239">
        <f>H86*Exchange_Rate/Dashboard!G3</f>
        <v>-0.43551167784472294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0.06</v>
      </c>
      <c r="D88" s="241">
        <f>C88/C86</f>
        <v>-0.33602190448452368</v>
      </c>
      <c r="E88" s="261">
        <f>Inputs!E98</f>
        <v>0</v>
      </c>
      <c r="F88" s="241">
        <f>E88/E86</f>
        <v>0</v>
      </c>
      <c r="H88" s="261">
        <f>Inputs!F98</f>
        <v>0.06</v>
      </c>
      <c r="I88" s="241">
        <f>H88/H86</f>
        <v>-0.33602190448452368</v>
      </c>
      <c r="K88" s="75"/>
    </row>
    <row r="89" spans="1:11" ht="15" customHeight="1" x14ac:dyDescent="0.35">
      <c r="B89" s="3" t="s">
        <v>196</v>
      </c>
      <c r="C89" s="238">
        <f>C88*Exchange_Rate/Dashboard!G3</f>
        <v>0.14634146341463414</v>
      </c>
      <c r="D89" s="103"/>
      <c r="E89" s="238">
        <f>E88*Exchange_Rate/Dashboard!G3</f>
        <v>0</v>
      </c>
      <c r="F89" s="103"/>
      <c r="H89" s="238">
        <f>H88*Exchange_Rate/Dashboard!G3</f>
        <v>0.14634146341463414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-0.52978150836283433</v>
      </c>
      <c r="H93" s="3" t="s">
        <v>185</v>
      </c>
      <c r="I93" s="243">
        <f>FV(H87,D93,0,-(H86/(C93-D94)))*Exchange_Rate</f>
        <v>-0.52978150836283433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1.4908759274214596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-270805.38315942499</v>
      </c>
      <c r="D97" s="250"/>
      <c r="E97" s="251">
        <f>PV(C94,D93,0,-F93)</f>
        <v>-0.34833994139086677</v>
      </c>
      <c r="F97" s="250"/>
      <c r="H97" s="251">
        <f>PV(C94,D93,0,-I93)</f>
        <v>-0.34833994139086677</v>
      </c>
      <c r="I97" s="251">
        <f>PV(C93,D93,0,-I93)</f>
        <v>-0.41982835148857389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0.4901375614108523</v>
      </c>
      <c r="H103" s="251">
        <f>PV(C94,D93,0,-I94)</f>
        <v>0.98027512282170459</v>
      </c>
      <c r="I103" s="257">
        <f>PV(C93,D93,0,-I94)</f>
        <v>1.181453057539861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0.24506878070542615</v>
      </c>
      <c r="H106" s="251">
        <f>(H100+H103)/2</f>
        <v>0.4901375614108523</v>
      </c>
      <c r="I106" s="251">
        <f>(I100+I103)/2</f>
        <v>0.59072652876993048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