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29FBC60-CCF9-4B69-8995-F68083DF811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44" i="4"/>
  <c r="E44" i="4"/>
  <c r="D44" i="4"/>
  <c r="C44" i="4"/>
  <c r="D33" i="4"/>
  <c r="C33" i="4"/>
  <c r="D32" i="4"/>
  <c r="C32" i="4"/>
  <c r="D31" i="4"/>
  <c r="C31" i="4"/>
  <c r="D27" i="4"/>
  <c r="C27" i="4"/>
  <c r="D93" i="3"/>
  <c r="F96" i="4" l="1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<sst xmlns="http://schemas.openxmlformats.org/spreadsheetml/2006/main" count="403" uniqueCount="287">
  <si>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</si>
  <si>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</si>
  <si>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</si>
  <si>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</si>
  <si>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</si>
  <si>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</si>
  <si>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</si>
  <si>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</si>
  <si>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</si>
  <si>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</si>
  <si>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</si>
  <si>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</si>
  <si>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</si>
  <si>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</si>
  <si>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</si>
  <si>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</si>
  <si>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</si>
  <si>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</si>
  <si>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</si>
  <si>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</si>
  <si>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</si>
  <si>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</si>
  <si>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</si>
  <si>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</si>
  <si>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</si>
  <si>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</si>
  <si>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</si>
  <si>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</si>
  <si>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</si>
  <si>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</si>
  <si>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</si>
  <si>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</si>
  <si>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</si>
  <si>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</si>
  <si>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</si>
  <si>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</si>
  <si>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</si>
  <si>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</si>
  <si>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</si>
  <si>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</si>
  <si>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</si>
  <si>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</si>
  <si>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</si>
  <si>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</si>
  <si>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</si>
  <si>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</si>
  <si>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</si>
  <si>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</si>
  <si>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</si>
  <si>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</si>
  <si>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</si>
  <si>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</si>
  <si>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</si>
  <si>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</si>
  <si>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</si>
  <si>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</si>
  <si>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</si>
  <si>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</si>
  <si>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</si>
  <si>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</si>
  <si>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</si>
  <si>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</si>
  <si>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</si>
  <si>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</si>
  <si>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</si>
  <si>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</si>
  <si>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</si>
  <si>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</si>
  <si>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</si>
  <si>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</si>
  <si>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</si>
  <si>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</si>
  <si>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</si>
  <si>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</si>
  <si>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</si>
  <si>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</si>
  <si>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</si>
  <si>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</si>
  <si>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</si>
  <si>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</si>
  <si>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</si>
  <si>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</si>
  <si>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</si>
  <si>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</si>
  <si>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</si>
  <si>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</si>
  <si>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</si>
  <si>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</si>
  <si>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</si>
  <si>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</si>
  <si>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</si>
  <si>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</si>
  <si>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</si>
  <si>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</si>
  <si>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</si>
  <si>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</si>
  <si>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</si>
  <si>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</si>
  <si>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</si>
  <si>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</si>
  <si>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</si>
  <si>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</si>
  <si>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</si>
  <si>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</si>
  <si>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</si>
  <si>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</si>
  <si>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</si>
  <si>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</si>
  <si>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</si>
  <si>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</si>
  <si>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</si>
  <si>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</si>
  <si>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</si>
  <si>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</si>
  <si>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</si>
  <si>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</si>
  <si>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</si>
  <si>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</si>
  <si>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</si>
  <si>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</si>
  <si>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</si>
  <si>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</si>
  <si>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</si>
  <si>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</si>
  <si>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</si>
  <si>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</si>
  <si>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</si>
  <si>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</si>
  <si>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</si>
  <si>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</si>
  <si>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</si>
  <si>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</si>
  <si>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</si>
  <si>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</si>
  <si>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</si>
  <si>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</si>
  <si>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</si>
  <si>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</si>
  <si>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</si>
  <si>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</si>
  <si>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</si>
  <si>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</si>
  <si>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</si>
  <si>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</si>
  <si>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</si>
  <si>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</si>
  <si>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</si>
  <si>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</si>
  <si>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</si>
  <si>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</si>
  <si>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</si>
  <si>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</si>
  <si>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</si>
  <si>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</si>
  <si>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</si>
  <si>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</si>
  <si>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</si>
  <si>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</si>
  <si>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</si>
  <si>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</si>
  <si>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</si>
  <si>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</si>
  <si>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</si>
  <si>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</si>
  <si>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</si>
  <si>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</si>
  <si>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</si>
  <si>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</si>
  <si>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</si>
  <si>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</si>
  <si>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</si>
  <si>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</si>
  <si>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</si>
  <si>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</si>
  <si>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</si>
  <si>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</si>
  <si>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</si>
  <si>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</si>
  <si>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</si>
  <si>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</si>
  <si>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</si>
  <si>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</si>
  <si>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</si>
  <si>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</si>
  <si>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</si>
  <si>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</si>
  <si>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</si>
  <si>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</si>
  <si>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</si>
  <si>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</si>
  <si>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</si>
  <si>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</si>
  <si>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</si>
  <si>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</si>
  <si>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</si>
  <si>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</si>
  <si>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</si>
  <si>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</si>
  <si>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</si>
  <si>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</si>
  <si>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</si>
  <si>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</si>
  <si>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</si>
  <si>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</si>
  <si>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</si>
  <si>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</si>
  <si>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</si>
  <si>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</si>
  <si>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</si>
  <si>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</si>
  <si>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</si>
  <si>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</si>
  <si>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</si>
  <si>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</si>
  <si>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</si>
  <si>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</si>
  <si>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</si>
  <si>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</si>
  <si>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</si>
  <si>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</si>
  <si>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</si>
  <si>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</si>
  <si>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</si>
  <si>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</si>
  <si>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</si>
  <si>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</si>
  <si>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</si>
  <si>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</si>
  <si>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</si>
  <si>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</si>
  <si>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</si>
  <si>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</si>
  <si>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</si>
  <si>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</si>
  <si>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</si>
  <si>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</si>
  <si>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</si>
  <si>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</si>
  <si>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</si>
  <si>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</si>
  <si>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</si>
  <si>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</si>
  <si>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</si>
  <si>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</si>
  <si>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</si>
  <si>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</si>
  <si>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</si>
  <si>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</si>
  <si>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</si>
  <si>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</si>
  <si>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</si>
  <si>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</si>
  <si>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</si>
  <si>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</si>
  <si>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</si>
  <si>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</si>
  <si>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</si>
  <si>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</si>
  <si>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</si>
  <si>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</si>
  <si>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</si>
  <si>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</si>
  <si>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</si>
  <si>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</si>
  <si>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</si>
  <si>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</si>
  <si>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</si>
  <si>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</si>
  <si>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</si>
  <si>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</si>
  <si>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</si>
  <si>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</si>
  <si>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</si>
  <si>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</si>
  <si>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</si>
  <si>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</si>
  <si>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</si>
  <si>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</si>
  <si>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</si>
  <si>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</si>
  <si>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</si>
  <si>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</si>
  <si>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1112.HK</t>
  </si>
  <si>
    <t>H&amp;H INTL</t>
  </si>
  <si>
    <t xml:space="preserve">Superior Cycl. 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</si>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</sst>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645561354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13926470</v>
      </c>
      <c r="D25" s="80">
        <v>12775914</v>
      </c>
      <c r="E25" s="80">
        <v>11547825</v>
      </c>
      <c r="F25" s="80">
        <v>11194679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5632214</v>
      </c>
      <c r="D26" s="82">
        <v>5072426</v>
      </c>
      <c r="E26" s="82">
        <v>4299843</v>
      </c>
      <c r="F26" s="82">
        <v>4007688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6448133+336404</f>
        <v>6784537</v>
      </c>
      <c r="D27" s="82">
        <f>5962916+382167</f>
        <v>6345083</v>
      </c>
      <c r="E27" s="82">
        <v>5667589</v>
      </c>
      <c r="F27" s="82">
        <v>5283088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773489</v>
      </c>
      <c r="D29" s="82">
        <v>525659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2337135-1652990</f>
        <v>684145</v>
      </c>
      <c r="D31" s="82">
        <f>2143040-1941920</f>
        <v>201120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f>69713+36500+196040</f>
        <v>302253</v>
      </c>
      <c r="D32" s="82">
        <f>72431+38576+200276</f>
        <v>311283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f>58067+32908</f>
        <v>90975</v>
      </c>
      <c r="D33" s="82">
        <f>44890+51361</f>
        <v>96251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0.18+0.44</f>
        <v>0.62</v>
      </c>
      <c r="D44" s="86">
        <f>0.38+0.25</f>
        <v>0.63</v>
      </c>
      <c r="E44" s="86">
        <f>0.17+0.37</f>
        <v>0.54</v>
      </c>
      <c r="F44" s="86">
        <f>0.39+0.63</f>
        <v>1.02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7.3865606785710511E-2</v>
      </c>
      <c r="D45" s="87">
        <f>IF(D44="","",D44*Exchange_Rate/Dashboard!$G$3)</f>
        <v>7.5056987540318754E-2</v>
      </c>
      <c r="E45" s="87">
        <f>IF(E44="","",E44*Exchange_Rate/Dashboard!$G$3)</f>
        <v>6.4334560748844638E-2</v>
      </c>
      <c r="F45" s="87">
        <f>IF(F44="","",F44*Exchange_Rate/Dashboard!$G$3)</f>
        <v>0.12152083697003989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13926470</v>
      </c>
      <c r="D91" s="103"/>
      <c r="E91" s="104">
        <f>C91</f>
        <v>13926470</v>
      </c>
      <c r="F91" s="104">
        <f>C91</f>
        <v>13926470</v>
      </c>
    </row>
    <row r="92" spans="2:8" x14ac:dyDescent="0.35">
      <c r="B92" s="105" t="s">
        <v>97</v>
      </c>
      <c r="C92" s="102">
        <f>C26</f>
        <v>5632214</v>
      </c>
      <c r="D92" s="106">
        <f>C92/C91</f>
        <v>0.4044250983917676</v>
      </c>
      <c r="E92" s="107">
        <f>E91*D92</f>
        <v>5632214</v>
      </c>
      <c r="F92" s="107">
        <f>F91*D92</f>
        <v>5632214</v>
      </c>
    </row>
    <row r="93" spans="2:8" x14ac:dyDescent="0.35">
      <c r="B93" s="105" t="s">
        <v>218</v>
      </c>
      <c r="C93" s="102">
        <f>C27+C28</f>
        <v>6784537</v>
      </c>
      <c r="D93" s="106">
        <f>C93/C91</f>
        <v>0.48716846408314524</v>
      </c>
      <c r="E93" s="107">
        <f>E91*D93</f>
        <v>6784537</v>
      </c>
      <c r="F93" s="107">
        <f>F91*D93</f>
        <v>6784537</v>
      </c>
    </row>
    <row r="94" spans="2:8" x14ac:dyDescent="0.35">
      <c r="B94" s="105" t="s">
        <v>224</v>
      </c>
      <c r="C94" s="102">
        <f>C29</f>
        <v>773489</v>
      </c>
      <c r="D94" s="106">
        <f>C94/C91</f>
        <v>5.5540923148507844E-2</v>
      </c>
      <c r="E94" s="108"/>
      <c r="F94" s="107">
        <f>F91*D94</f>
        <v>773489</v>
      </c>
    </row>
    <row r="95" spans="2:8" x14ac:dyDescent="0.35">
      <c r="B95" s="18" t="s">
        <v>217</v>
      </c>
      <c r="C95" s="102">
        <f>ABS(MAX(C33,0)-C32)</f>
        <v>211278</v>
      </c>
      <c r="D95" s="106">
        <f>C95/C91</f>
        <v>1.517096579391619E-2</v>
      </c>
      <c r="E95" s="107">
        <f>E91*D95</f>
        <v>211278</v>
      </c>
      <c r="F95" s="107">
        <f>F91*D95</f>
        <v>211278</v>
      </c>
    </row>
    <row r="96" spans="2:8" x14ac:dyDescent="0.35">
      <c r="B96" s="18" t="s">
        <v>101</v>
      </c>
      <c r="C96" s="102">
        <f>MAX(C31,0)</f>
        <v>684145</v>
      </c>
      <c r="D96" s="106">
        <f>C96/C91</f>
        <v>4.9125514218606725E-2</v>
      </c>
      <c r="E96" s="108"/>
      <c r="F96" s="107">
        <f>F91*0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0.62</v>
      </c>
      <c r="D98" s="110"/>
      <c r="E98" s="111">
        <f>F98</f>
        <v>0.62</v>
      </c>
      <c r="F98" s="111">
        <f>C98</f>
        <v>0.62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1112.HK : H&amp;H INTL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1112.HK</v>
      </c>
      <c r="D3" s="316"/>
      <c r="E3" s="3"/>
      <c r="F3" s="9" t="s">
        <v>1</v>
      </c>
      <c r="G3" s="10">
        <v>8.93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H&amp;H INTL</v>
      </c>
      <c r="D4" s="318"/>
      <c r="E4" s="3"/>
      <c r="F4" s="9" t="s">
        <v>2</v>
      </c>
      <c r="G4" s="321">
        <f>Inputs!C10</f>
        <v>645561354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45637</v>
      </c>
      <c r="D5" s="320"/>
      <c r="E5" s="16"/>
      <c r="F5" s="12" t="s">
        <v>91</v>
      </c>
      <c r="G5" s="313">
        <f>G3*G4/1000000</f>
        <v>5764.8628912200002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C0002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0.10840643752508712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5.5540923148507844E-2</v>
      </c>
      <c r="F24" s="39" t="s">
        <v>226</v>
      </c>
      <c r="G24" s="43">
        <f>G3/(Fin_Analysis!H86*G7)</f>
        <v>13.762777394761043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1.0165959033206846</v>
      </c>
    </row>
    <row r="26" spans="1:8" ht="15.75" customHeight="1" x14ac:dyDescent="0.35">
      <c r="B26" s="45" t="s">
        <v>243</v>
      </c>
      <c r="C26" s="44">
        <f>Fin_Analysis!I80+Fin_Analysis!I82</f>
        <v>1.517096579391619E-2</v>
      </c>
      <c r="F26" s="46" t="s">
        <v>168</v>
      </c>
      <c r="G26" s="47">
        <f>Fin_Analysis!H88*Exchange_Rate/G3</f>
        <v>7.3865606785710511E-2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6.755707729808905</v>
      </c>
      <c r="D29" s="54">
        <f>G29*(1+G20)</f>
        <v>10.845608411842532</v>
      </c>
      <c r="E29" s="3"/>
      <c r="F29" s="55">
        <f>IF(Fin_Analysis!C108="Profit",Fin_Analysis!F100,IF(Fin_Analysis!C108="Dividend",Fin_Analysis!F103,Fin_Analysis!F106))</f>
        <v>7.9478914468340056</v>
      </c>
      <c r="G29" s="312">
        <f>IF(Fin_Analysis!C108="Profit",Fin_Analysis!I100,IF(Fin_Analysis!C108="Dividend",Fin_Analysis!I103,Fin_Analysis!I106))</f>
        <v>9.4309638363848105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1509719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13926470</v>
      </c>
      <c r="D6" s="147">
        <f>IF(Inputs!D25="","",Inputs!D25)</f>
        <v>12775914</v>
      </c>
      <c r="E6" s="147">
        <f>IF(Inputs!E25="","",Inputs!E25)</f>
        <v>11547825</v>
      </c>
      <c r="F6" s="147">
        <f>IF(Inputs!F25="","",Inputs!F25)</f>
        <v>11194679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9.0056648784580196E-2</v>
      </c>
      <c r="D7" s="148">
        <f t="shared" si="1"/>
        <v>0.10634807853426942</v>
      </c>
      <c r="E7" s="148">
        <f t="shared" si="1"/>
        <v>3.1545879966723422E-2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5632214</v>
      </c>
      <c r="D8" s="149">
        <f>IF(Inputs!D26="","",Inputs!D26)</f>
        <v>5072426</v>
      </c>
      <c r="E8" s="149">
        <f>IF(Inputs!E26="","",Inputs!E26)</f>
        <v>4299843</v>
      </c>
      <c r="F8" s="149">
        <f>IF(Inputs!F26="","",Inputs!F26)</f>
        <v>4007688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8294256</v>
      </c>
      <c r="D9" s="279">
        <f t="shared" si="2"/>
        <v>7703488</v>
      </c>
      <c r="E9" s="279">
        <f t="shared" si="2"/>
        <v>7247982</v>
      </c>
      <c r="F9" s="279">
        <f t="shared" si="2"/>
        <v>7186991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6784537</v>
      </c>
      <c r="D10" s="149">
        <f>IF(Inputs!D27="","",Inputs!D27)</f>
        <v>6345083</v>
      </c>
      <c r="E10" s="149">
        <f>IF(Inputs!E27="","",Inputs!E27)</f>
        <v>5667589</v>
      </c>
      <c r="F10" s="149">
        <f>IF(Inputs!F27="","",Inputs!F27)</f>
        <v>5283088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0.10840643752508712</v>
      </c>
      <c r="D13" s="300">
        <f t="shared" si="3"/>
        <v>0.10632546524655692</v>
      </c>
      <c r="E13" s="300">
        <f t="shared" si="3"/>
        <v>0.13685633441795317</v>
      </c>
      <c r="F13" s="300">
        <f t="shared" si="3"/>
        <v>0.17007213873662658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1509719</v>
      </c>
      <c r="D14" s="302">
        <f t="shared" ref="D14:M14" si="4">IF(D6="","",D9-D10-MAX(D11,0)-MAX(D12,0))</f>
        <v>1358405</v>
      </c>
      <c r="E14" s="302">
        <f t="shared" si="4"/>
        <v>1580393</v>
      </c>
      <c r="F14" s="302">
        <f t="shared" si="4"/>
        <v>1903903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0.11139093274833352</v>
      </c>
      <c r="D15" s="304">
        <f t="shared" ref="D15:M15" si="5">IF(E14="","",IF(ABS(D14+E14)=ABS(D14)+ABS(E14),IF(D14&lt;0,-1,1)*(D14-E14)/E14,"Turn"))</f>
        <v>-0.14046379603048104</v>
      </c>
      <c r="E15" s="304">
        <f t="shared" si="5"/>
        <v>-0.16991937089231962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684145</v>
      </c>
      <c r="D16" s="149">
        <f>IF(Inputs!D31="","",Inputs!D31)</f>
        <v>201120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773489</v>
      </c>
      <c r="D17" s="149">
        <f>IF(Inputs!D29="","",Inputs!D29)</f>
        <v>525659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2.170348982908088E-2</v>
      </c>
      <c r="D18" s="233">
        <f t="shared" si="6"/>
        <v>2.4364832136471802E-2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302253</v>
      </c>
      <c r="D19" s="149">
        <f>IF(Inputs!D32="","",Inputs!D32)</f>
        <v>311283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6.5325240351646902E-3</v>
      </c>
      <c r="D20" s="233">
        <f t="shared" si="7"/>
        <v>7.5337858410756365E-3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90975</v>
      </c>
      <c r="D21" s="149">
        <f>IF(Inputs!D33="","",Inputs!D33)</f>
        <v>96251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-159193</v>
      </c>
      <c r="D22" s="283">
        <f t="shared" ref="D22:M22" si="8">IF(D6="","",D14-MAX(D16,0)-MAX(D17,0)-ABS(MAX(D21,0)-MAX(D19,0)))</f>
        <v>416594</v>
      </c>
      <c r="E22" s="283">
        <f t="shared" si="8"/>
        <v>1580393</v>
      </c>
      <c r="F22" s="283">
        <f t="shared" si="8"/>
        <v>1903903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-8.5732242269577295E-3</v>
      </c>
      <c r="D23" s="148">
        <f t="shared" si="9"/>
        <v>2.445582366944549E-2</v>
      </c>
      <c r="E23" s="148">
        <f t="shared" si="9"/>
        <v>0.10264225081346487</v>
      </c>
      <c r="F23" s="148">
        <f t="shared" si="9"/>
        <v>0.12755410405246992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-119394.75</v>
      </c>
      <c r="D24" s="282">
        <f>IF(D6="","",D22*(1-Fin_Analysis!$I$84))</f>
        <v>312445.5</v>
      </c>
      <c r="E24" s="282">
        <f>IF(E6="","",E22*(1-Fin_Analysis!$I$84))</f>
        <v>1185294.75</v>
      </c>
      <c r="F24" s="282">
        <f>IF(F6="","",F22*(1-Fin_Analysis!$I$84))</f>
        <v>1427927.25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 t="str">
        <f>IF(D24="","",IF(ABS(C24+D24)=ABS(C24)+ABS(D24),IF(C24&lt;0,-1,1)*(C24-D24)/D24,"Turn"))</f>
        <v>Turn</v>
      </c>
      <c r="D25" s="152">
        <f t="shared" ref="D25:M25" si="10">IF(E24="","",IF(ABS(D24+E24)=ABS(D24)+ABS(E24),IF(D24&lt;0,-1,1)*(D24-E24)/E24,"Turn"))</f>
        <v>-0.73639847810006753</v>
      </c>
      <c r="E25" s="152">
        <f t="shared" si="10"/>
        <v>-0.16991937089231962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0.4044250983917676</v>
      </c>
      <c r="D40" s="156">
        <f t="shared" si="34"/>
        <v>0.39703038076179914</v>
      </c>
      <c r="E40" s="156">
        <f t="shared" si="34"/>
        <v>0.37235089724688414</v>
      </c>
      <c r="F40" s="156">
        <f t="shared" si="34"/>
        <v>0.35799936737801952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0.48716846408314524</v>
      </c>
      <c r="D41" s="151">
        <f t="shared" si="35"/>
        <v>0.49664415399164397</v>
      </c>
      <c r="E41" s="151">
        <f t="shared" si="35"/>
        <v>0.49079276833516267</v>
      </c>
      <c r="F41" s="151">
        <f t="shared" si="35"/>
        <v>0.47192849388535391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4.9125514218606725E-2</v>
      </c>
      <c r="D42" s="151">
        <f t="shared" si="36"/>
        <v>1.5742122246596213E-2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5.5540923148507844E-2</v>
      </c>
      <c r="D43" s="151">
        <f t="shared" si="37"/>
        <v>4.1144531811970558E-2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1.517096579391619E-2</v>
      </c>
      <c r="D45" s="151">
        <f t="shared" si="39"/>
        <v>1.6831046295396165E-2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-1.1430965635943638E-2</v>
      </c>
      <c r="D46" s="289">
        <f t="shared" si="40"/>
        <v>3.2607764892593989E-2</v>
      </c>
      <c r="E46" s="289">
        <f t="shared" si="40"/>
        <v>0.13685633441795317</v>
      </c>
      <c r="F46" s="289">
        <f t="shared" si="40"/>
        <v>0.17007213873662658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0.59462120922406214</v>
      </c>
      <c r="D51" s="151">
        <f t="shared" si="44"/>
        <v>0.16376663254861823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-4.858812887501335</v>
      </c>
      <c r="D55" s="151">
        <f t="shared" si="47"/>
        <v>1.2618016582091918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13926470</v>
      </c>
      <c r="D74" s="103"/>
      <c r="E74" s="262">
        <f>Inputs!E91</f>
        <v>13926470</v>
      </c>
      <c r="F74" s="103"/>
      <c r="H74" s="262">
        <f>Inputs!F91</f>
        <v>13926470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5632214</v>
      </c>
      <c r="D75" s="106">
        <f>C75/$C$74</f>
        <v>0.4044250983917676</v>
      </c>
      <c r="E75" s="262">
        <f>Inputs!E92</f>
        <v>5632214</v>
      </c>
      <c r="F75" s="217">
        <f>E75/E74</f>
        <v>0.4044250983917676</v>
      </c>
      <c r="H75" s="262">
        <f>Inputs!F92</f>
        <v>5632214</v>
      </c>
      <c r="I75" s="217">
        <f>H75/$H$74</f>
        <v>0.4044250983917676</v>
      </c>
      <c r="K75" s="75"/>
    </row>
    <row r="76" spans="1:11" ht="15" customHeight="1" x14ac:dyDescent="0.35">
      <c r="B76" s="12" t="s">
        <v>87</v>
      </c>
      <c r="C76" s="150">
        <f>C74-C75</f>
        <v>8294256</v>
      </c>
      <c r="D76" s="218"/>
      <c r="E76" s="219">
        <f>E74-E75</f>
        <v>8294256</v>
      </c>
      <c r="F76" s="218"/>
      <c r="H76" s="219">
        <f>H74-H75</f>
        <v>8294256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6784537</v>
      </c>
      <c r="D77" s="106">
        <f>C77/$C$74</f>
        <v>0.48716846408314524</v>
      </c>
      <c r="E77" s="262">
        <f>Inputs!E93</f>
        <v>6784537</v>
      </c>
      <c r="F77" s="217">
        <f>E77/E74</f>
        <v>0.48716846408314524</v>
      </c>
      <c r="H77" s="262">
        <f>Inputs!F93</f>
        <v>6784537</v>
      </c>
      <c r="I77" s="217">
        <f>H77/$H$74</f>
        <v>0.48716846408314524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1509719</v>
      </c>
      <c r="D79" s="223">
        <f>C79/C74</f>
        <v>0.10840643752508712</v>
      </c>
      <c r="E79" s="224">
        <f>E76-E77-E78</f>
        <v>1509719</v>
      </c>
      <c r="F79" s="223">
        <f>E79/E74</f>
        <v>0.10840643752508712</v>
      </c>
      <c r="G79" s="225"/>
      <c r="H79" s="224">
        <f>H76-H77-H78</f>
        <v>1509719</v>
      </c>
      <c r="I79" s="223">
        <f>H79/H74</f>
        <v>0.10840643752508712</v>
      </c>
      <c r="K79" s="75"/>
    </row>
    <row r="80" spans="1:11" ht="15" customHeight="1" x14ac:dyDescent="0.35">
      <c r="B80" s="18" t="s">
        <v>101</v>
      </c>
      <c r="C80" s="102">
        <f>MAX(Data!C16,0)</f>
        <v>684145</v>
      </c>
      <c r="D80" s="106">
        <f>C80/$C$74</f>
        <v>4.9125514218606725E-2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773489</v>
      </c>
      <c r="D81" s="106">
        <f>C81/$C$74</f>
        <v>5.5540923148507844E-2</v>
      </c>
      <c r="E81" s="220">
        <f>E74*F81</f>
        <v>773489</v>
      </c>
      <c r="F81" s="217">
        <f>I81</f>
        <v>5.5540923148507844E-2</v>
      </c>
      <c r="H81" s="262">
        <f>Inputs!F94</f>
        <v>773489</v>
      </c>
      <c r="I81" s="217">
        <f>H81/$H$74</f>
        <v>5.5540923148507844E-2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211278</v>
      </c>
      <c r="D82" s="106">
        <f>C82/$C$74</f>
        <v>1.517096579391619E-2</v>
      </c>
      <c r="E82" s="262">
        <f>Inputs!E95</f>
        <v>211278</v>
      </c>
      <c r="F82" s="217">
        <f>E82/E74</f>
        <v>1.517096579391619E-2</v>
      </c>
      <c r="H82" s="262">
        <f>Inputs!F95</f>
        <v>211278</v>
      </c>
      <c r="I82" s="217">
        <f>H82/$H$74</f>
        <v>1.517096579391619E-2</v>
      </c>
      <c r="K82" s="75"/>
    </row>
    <row r="83" spans="1:11" ht="15" customHeight="1" thickBot="1" x14ac:dyDescent="0.4">
      <c r="B83" s="227" t="s">
        <v>115</v>
      </c>
      <c r="C83" s="228">
        <f>C79-C81-C82-C80</f>
        <v>-159193</v>
      </c>
      <c r="D83" s="229">
        <f>C83/$C$74</f>
        <v>-1.1430965635943638E-2</v>
      </c>
      <c r="E83" s="230">
        <f>E79-E81-E82-E80</f>
        <v>524952</v>
      </c>
      <c r="F83" s="229">
        <f>E83/E74</f>
        <v>3.7694548582663086E-2</v>
      </c>
      <c r="H83" s="230">
        <f>H79-H81-H82-H80</f>
        <v>524952</v>
      </c>
      <c r="I83" s="229">
        <f>H83/$H$74</f>
        <v>3.7694548582663086E-2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-119394.75</v>
      </c>
      <c r="D85" s="223">
        <f>C85/$C$74</f>
        <v>-8.5732242269577295E-3</v>
      </c>
      <c r="E85" s="235">
        <f>E83*(1-F84)</f>
        <v>393714</v>
      </c>
      <c r="F85" s="223">
        <f>E85/E74</f>
        <v>2.8270911436997316E-2</v>
      </c>
      <c r="G85" s="225"/>
      <c r="H85" s="235">
        <f>H83*(1-I84)</f>
        <v>393714</v>
      </c>
      <c r="I85" s="223">
        <f>H85/$H$74</f>
        <v>2.8270911436997316E-2</v>
      </c>
      <c r="K85" s="75"/>
    </row>
    <row r="86" spans="1:11" ht="15" customHeight="1" x14ac:dyDescent="0.35">
      <c r="B86" s="3" t="s">
        <v>145</v>
      </c>
      <c r="C86" s="236">
        <f>C85*Data!C4/Common_Shares</f>
        <v>-0.18494717699597613</v>
      </c>
      <c r="D86" s="103"/>
      <c r="E86" s="237">
        <f>E85*Data!C4/Common_Shares</f>
        <v>0.60987851512561264</v>
      </c>
      <c r="F86" s="103"/>
      <c r="H86" s="237">
        <f>H85*Data!C4/Common_Shares</f>
        <v>0.60987851512561264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-2.2034250729212869E-2</v>
      </c>
      <c r="D87" s="103"/>
      <c r="E87" s="239">
        <f>E86*Exchange_Rate/Dashboard!G3</f>
        <v>7.2659752556970172E-2</v>
      </c>
      <c r="F87" s="103"/>
      <c r="H87" s="239">
        <f>H86*Exchange_Rate/Dashboard!G3</f>
        <v>7.2659752556970172E-2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0.62</v>
      </c>
      <c r="D88" s="241">
        <f>C88/C86</f>
        <v>-3.3523085351742852</v>
      </c>
      <c r="E88" s="261">
        <f>Inputs!E98</f>
        <v>0.62</v>
      </c>
      <c r="F88" s="241">
        <f>E88/E86</f>
        <v>1.0165959033206846</v>
      </c>
      <c r="H88" s="261">
        <f>Inputs!F98</f>
        <v>0.62</v>
      </c>
      <c r="I88" s="241">
        <f>H88/H86</f>
        <v>1.0165959033206846</v>
      </c>
      <c r="K88" s="75"/>
    </row>
    <row r="89" spans="1:11" ht="15" customHeight="1" x14ac:dyDescent="0.35">
      <c r="B89" s="3" t="s">
        <v>195</v>
      </c>
      <c r="C89" s="238">
        <f>C88*Exchange_Rate/Dashboard!G3</f>
        <v>7.3865606785710511E-2</v>
      </c>
      <c r="D89" s="103"/>
      <c r="E89" s="238">
        <f>E88*Exchange_Rate/Dashboard!G3</f>
        <v>7.3865606785710511E-2</v>
      </c>
      <c r="F89" s="103"/>
      <c r="H89" s="238">
        <f>H88*Exchange_Rate/Dashboard!G3</f>
        <v>7.3865606785710511E-2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12.087749404203665</v>
      </c>
      <c r="H93" s="3" t="s">
        <v>184</v>
      </c>
      <c r="I93" s="243">
        <f>FV(H87,D93,0,-(H86/(C93-D94)))*Exchange_Rate</f>
        <v>12.087749404203665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12.329845815665552</v>
      </c>
      <c r="H94" s="3" t="s">
        <v>185</v>
      </c>
      <c r="I94" s="243">
        <f>FV(H89,D93,0,-(H88/(C93-D94)))*Exchange_Rate</f>
        <v>12.329845815665552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5130851.5638631796</v>
      </c>
      <c r="D97" s="250"/>
      <c r="E97" s="251">
        <f>PV(C94,D93,0,-F93)</f>
        <v>7.9478914468340056</v>
      </c>
      <c r="F97" s="250"/>
      <c r="H97" s="251">
        <f>PV(C94,D93,0,-I93)</f>
        <v>7.9478914468340056</v>
      </c>
      <c r="I97" s="251">
        <f>PV(C93,D93,0,-I93)</f>
        <v>9.4309638363848105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6.755707729808905</v>
      </c>
      <c r="E100" s="257">
        <f>MAX(E97+H98+E99,0)</f>
        <v>7.9478914468340056</v>
      </c>
      <c r="F100" s="257">
        <f>(E100+H100)/2</f>
        <v>7.9478914468340056</v>
      </c>
      <c r="H100" s="257">
        <f>MAX(H97+H98+H99,0)</f>
        <v>7.9478914468340056</v>
      </c>
      <c r="I100" s="257">
        <f>MAX(I97+H98+H99,0)</f>
        <v>9.4309638363848105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6.8910127021061696</v>
      </c>
      <c r="E103" s="251">
        <f>PV(C94,D93,0,-F94)</f>
        <v>8.1070737671837296</v>
      </c>
      <c r="F103" s="257">
        <f>(E103+H103)/2</f>
        <v>8.1070737671837296</v>
      </c>
      <c r="H103" s="251">
        <f>PV(C94,D93,0,-I94)</f>
        <v>8.1070737671837296</v>
      </c>
      <c r="I103" s="257">
        <f>PV(C93,D93,0,-I94)</f>
        <v>9.6198494945058819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6.8233602159575373</v>
      </c>
      <c r="E106" s="251">
        <f>(E100+E103)/2</f>
        <v>8.0274826070088672</v>
      </c>
      <c r="F106" s="257">
        <f>(F100+F103)/2</f>
        <v>8.0274826070088672</v>
      </c>
      <c r="H106" s="251">
        <f>(H100+H103)/2</f>
        <v>8.0274826070088672</v>
      </c>
      <c r="I106" s="251">
        <f>(I100+I103)/2</f>
        <v>9.5254066654453453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