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463DA6C-2C07-4631-917C-83EB8E489C8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3" i="4" l="1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D44" i="4"/>
  <c r="C44" i="4"/>
  <c r="D37" i="4"/>
  <c r="C37" i="4"/>
  <c r="D27" i="4"/>
  <c r="C27" i="4"/>
  <c r="D93" i="3"/>
  <c r="F95" i="4" l="1"/>
  <c r="F96" i="4"/>
  <c r="F94" i="4"/>
  <c r="E92" i="4"/>
  <c r="F97" i="4"/>
  <c r="E95" i="4"/>
  <c r="D56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<sst xmlns="http://schemas.openxmlformats.org/spreadsheetml/2006/main" count="403" uniqueCount="288">
  <si>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</si>
  <si>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</si>
  <si>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</si>
  <si>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</si>
  <si>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</si>
  <si>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</si>
  <si>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</si>
  <si>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</si>
  <si>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</si>
  <si>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</si>
  <si>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</si>
  <si>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</si>
  <si>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</si>
  <si>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</si>
  <si>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</si>
  <si>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</si>
  <si>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</si>
  <si>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</si>
  <si>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</si>
  <si>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</si>
  <si>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</si>
  <si>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</si>
  <si>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</si>
  <si>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</si>
  <si>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</si>
  <si>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</si>
  <si>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</si>
  <si>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</si>
  <si>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</si>
  <si>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</si>
  <si>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</si>
  <si>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</si>
  <si>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</si>
  <si>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</si>
  <si>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</si>
  <si>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</si>
  <si>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</si>
  <si>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</si>
  <si>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</si>
  <si>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</si>
  <si>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</si>
  <si>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</si>
  <si>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</si>
  <si>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</si>
  <si>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</si>
  <si>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</si>
  <si>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</si>
  <si>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</si>
  <si>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</si>
  <si>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</si>
  <si>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</si>
  <si>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</si>
  <si>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</si>
  <si>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</si>
  <si>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</si>
  <si>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</si>
  <si>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</si>
  <si>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</si>
  <si>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</si>
  <si>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</si>
  <si>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</si>
  <si>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</si>
  <si>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</si>
  <si>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</si>
  <si>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</si>
  <si>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</si>
  <si>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</si>
  <si>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</si>
  <si>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</si>
  <si>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</si>
  <si>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</si>
  <si>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</si>
  <si>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</si>
  <si>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</si>
  <si>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</si>
  <si>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</si>
  <si>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</si>
  <si>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</si>
  <si>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</si>
  <si>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</si>
  <si>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</si>
  <si>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</si>
  <si>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</si>
  <si>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</si>
  <si>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</si>
  <si>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</si>
  <si>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</si>
  <si>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</si>
  <si>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</si>
  <si>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</si>
  <si>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</si>
  <si>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</si>
  <si>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</si>
  <si>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</si>
  <si>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</si>
  <si>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</si>
  <si>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</si>
  <si>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</si>
  <si>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</si>
  <si>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</si>
  <si>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</si>
  <si>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</si>
  <si>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</si>
  <si>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</si>
  <si>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</si>
  <si>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</si>
  <si>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</si>
  <si>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</si>
  <si>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</si>
  <si>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</si>
  <si>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</si>
  <si>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</si>
  <si>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</si>
  <si>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</si>
  <si>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</si>
  <si>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</si>
  <si>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</si>
  <si>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</si>
  <si>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</si>
  <si>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</si>
  <si>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</si>
  <si>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</si>
  <si>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</si>
  <si>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</si>
  <si>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</si>
  <si>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</si>
  <si>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</si>
  <si>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</si>
  <si>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</si>
  <si>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</si>
  <si>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</si>
  <si>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</si>
  <si>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</si>
  <si>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</si>
  <si>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</si>
  <si>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</si>
  <si>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</si>
  <si>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</si>
  <si>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</si>
  <si>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</si>
  <si>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</si>
  <si>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</si>
  <si>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</si>
  <si>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</si>
  <si>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</si>
  <si>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</si>
  <si>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</si>
  <si>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</si>
  <si>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</si>
  <si>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</si>
  <si>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</si>
  <si>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</si>
  <si>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</si>
  <si>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</si>
  <si>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</si>
  <si>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</si>
  <si>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</si>
  <si>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</si>
  <si>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</si>
  <si>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</si>
  <si>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</si>
  <si>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</si>
  <si>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</si>
  <si>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</si>
  <si>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</si>
  <si>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</si>
  <si>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</si>
  <si>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</si>
  <si>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</si>
  <si>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</si>
  <si>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</si>
  <si>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</si>
  <si>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</si>
  <si>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</si>
  <si>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</si>
  <si>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</si>
  <si>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</si>
  <si>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</si>
  <si>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</si>
  <si>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</si>
  <si>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</si>
  <si>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</si>
  <si>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</si>
  <si>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</si>
  <si>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</si>
  <si>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</si>
  <si>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</si>
  <si>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</si>
  <si>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</si>
  <si>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</si>
  <si>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</si>
  <si>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</si>
  <si>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</si>
  <si>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</si>
  <si>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</si>
  <si>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</si>
  <si>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</si>
  <si>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</si>
  <si>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</si>
  <si>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</si>
  <si>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</si>
  <si>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</si>
  <si>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</si>
  <si>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</si>
  <si>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</si>
  <si>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</si>
  <si>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</si>
  <si>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</si>
  <si>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</si>
  <si>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</si>
  <si>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</si>
  <si>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</si>
  <si>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</si>
  <si>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</si>
  <si>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</si>
  <si>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</si>
  <si>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</si>
  <si>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</si>
  <si>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</si>
  <si>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</si>
  <si>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</si>
  <si>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</si>
  <si>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</si>
  <si>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</si>
  <si>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</si>
  <si>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</si>
  <si>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</si>
  <si>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</si>
  <si>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</si>
  <si>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</si>
  <si>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</si>
  <si>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</si>
  <si>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</si>
  <si>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</si>
  <si>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</si>
  <si>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</si>
  <si>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</si>
  <si>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</si>
  <si>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</si>
  <si>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</si>
  <si>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</si>
  <si>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</si>
  <si>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</si>
  <si>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</si>
  <si>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</si>
  <si>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</si>
  <si>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</si>
  <si>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</si>
  <si>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</si>
  <si>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</si>
  <si>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</si>
  <si>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</si>
  <si>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</si>
  <si>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</si>
  <si>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</si>
  <si>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</si>
  <si>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</si>
  <si>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</si>
  <si>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</si>
  <si>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</si>
  <si>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</si>
  <si>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</si>
  <si>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</si>
  <si>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</si>
  <si>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</si>
  <si>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</si>
  <si>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</si>
  <si>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</si>
  <si>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</si>
  <si>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</si>
  <si>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</si>
  <si>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</si>
  <si>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</si>
  <si>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</si>
  <si>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</si>
  <si>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</si>
  <si>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</si>
  <si>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</si>
  <si>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</si>
  <si>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</si>
  <si>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</si>
  <si>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</si>
  <si>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1836.HK</t>
  </si>
  <si>
    <t>九興控股</t>
  </si>
  <si>
    <t>Tier 3</t>
  </si>
  <si>
    <t>C0007</t>
  </si>
  <si>
    <t>USD</t>
  </si>
  <si>
    <t>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</si>
</sst>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45624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821163500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287</v>
      </c>
      <c r="D19" s="75"/>
    </row>
    <row r="20" spans="2:13" x14ac:dyDescent="0.35">
      <c r="B20" s="57" t="s">
        <v>201</v>
      </c>
      <c r="C20" s="126" t="s">
        <v>287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1492651</v>
      </c>
      <c r="D25" s="80">
        <v>1630771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1125923</v>
      </c>
      <c r="D26" s="82">
        <v>1278644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f>44044+152022</f>
        <v>196066</v>
      </c>
      <c r="D27" s="82">
        <f>44743+157174</f>
        <v>201917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943</v>
      </c>
      <c r="D29" s="82">
        <v>944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817</v>
      </c>
      <c r="D30" s="82">
        <v>846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f>272575+29032</f>
        <v>301607</v>
      </c>
      <c r="D37" s="82">
        <f>219869+22265</f>
        <v>242134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1103502</v>
      </c>
      <c r="D41" s="82">
        <v>1015949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15807</v>
      </c>
      <c r="D42" s="82">
        <v>17088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(0.61+0.42)/Exchange_Rate</f>
        <v>0.13264205101194682</v>
      </c>
      <c r="D44" s="86">
        <f>(0.45+0.42)/Exchange_Rate</f>
        <v>0.11203746056348905</v>
      </c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6.5107458912768645E-2</v>
      </c>
      <c r="D45" s="87">
        <f>IF(D44="","",D44*Exchange_Rate/Dashboard!$G$3)</f>
        <v>5.4993678887484194E-2</v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Sheet- Error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1000USD)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1492651</v>
      </c>
      <c r="D91" s="103"/>
      <c r="E91" s="104">
        <f>C91</f>
        <v>1492651</v>
      </c>
      <c r="F91" s="104">
        <f>C91</f>
        <v>1492651</v>
      </c>
    </row>
    <row r="92" spans="2:8" x14ac:dyDescent="0.35">
      <c r="B92" s="105" t="s">
        <v>97</v>
      </c>
      <c r="C92" s="102">
        <f>C26</f>
        <v>1125923</v>
      </c>
      <c r="D92" s="106">
        <f>C92/C91</f>
        <v>0.75431095413462357</v>
      </c>
      <c r="E92" s="107">
        <f>E91*D92</f>
        <v>1125923</v>
      </c>
      <c r="F92" s="107">
        <f>F91*D92</f>
        <v>1125923</v>
      </c>
    </row>
    <row r="93" spans="2:8" x14ac:dyDescent="0.35">
      <c r="B93" s="105" t="s">
        <v>218</v>
      </c>
      <c r="C93" s="102">
        <f>C27+C28</f>
        <v>196066</v>
      </c>
      <c r="D93" s="106">
        <f>C93/C91</f>
        <v>0.13135421474946254</v>
      </c>
      <c r="E93" s="107">
        <f>E91*D93</f>
        <v>196066.00000000003</v>
      </c>
      <c r="F93" s="107">
        <f>F91*D93</f>
        <v>196066.00000000003</v>
      </c>
    </row>
    <row r="94" spans="2:8" x14ac:dyDescent="0.35">
      <c r="B94" s="105" t="s">
        <v>224</v>
      </c>
      <c r="C94" s="102">
        <f>C29</f>
        <v>943</v>
      </c>
      <c r="D94" s="106">
        <f>C94/C91</f>
        <v>6.3176187869769956E-4</v>
      </c>
      <c r="E94" s="108"/>
      <c r="F94" s="107">
        <f>F91*D94</f>
        <v>943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1089.3333333333333</v>
      </c>
      <c r="D97" s="106">
        <f>C97/C91</f>
        <v>7.2979774463912414E-4</v>
      </c>
      <c r="E97" s="108"/>
      <c r="F97" s="107">
        <f>F91*D97</f>
        <v>1089.3333333333333</v>
      </c>
    </row>
    <row r="98" spans="2:6" x14ac:dyDescent="0.35">
      <c r="B98" s="8" t="s">
        <v>182</v>
      </c>
      <c r="C98" s="109">
        <f>C44</f>
        <v>0.13264205101194682</v>
      </c>
      <c r="D98" s="110"/>
      <c r="E98" s="111">
        <f>F98</f>
        <v>0.13264205101194682</v>
      </c>
      <c r="F98" s="111">
        <f>C98</f>
        <v>0.13264205101194682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1836.HK : 九興控股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1836.HK</v>
      </c>
      <c r="D3" s="316"/>
      <c r="E3" s="3"/>
      <c r="F3" s="9" t="s">
        <v>1</v>
      </c>
      <c r="G3" s="10">
        <v>15.82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九興控股</v>
      </c>
      <c r="D4" s="318"/>
      <c r="E4" s="3"/>
      <c r="F4" s="9" t="s">
        <v>2</v>
      </c>
      <c r="G4" s="321">
        <f>Inputs!C10</f>
        <v>821163500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45624</v>
      </c>
      <c r="D5" s="320"/>
      <c r="E5" s="16"/>
      <c r="F5" s="12" t="s">
        <v>91</v>
      </c>
      <c r="G5" s="313">
        <f>G3*G4/1000000</f>
        <v>12990.806570000001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USD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C0007</v>
      </c>
      <c r="E7" s="3"/>
      <c r="F7" s="12" t="s">
        <v>5</v>
      </c>
      <c r="G7" s="21">
        <v>7.7652599016825361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0.15590093423861159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0.11360503337127477</v>
      </c>
      <c r="F21" s="3"/>
      <c r="G21" s="34"/>
    </row>
    <row r="22" spans="1:8" ht="15.75" customHeight="1" x14ac:dyDescent="0.35">
      <c r="B22" s="35" t="s">
        <v>247</v>
      </c>
      <c r="C22" s="36">
        <f>Data!C48</f>
        <v>1.0623026398663733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1.2918226157148833</v>
      </c>
      <c r="F23" s="39" t="s">
        <v>165</v>
      </c>
      <c r="G23" s="40">
        <f>G3/(Data!C34*Data!C4/Common_Shares*Exchange_Rate)</f>
        <v>1.5160272079818626</v>
      </c>
    </row>
    <row r="24" spans="1:8" ht="15.75" customHeight="1" x14ac:dyDescent="0.35">
      <c r="B24" s="41" t="s">
        <v>241</v>
      </c>
      <c r="C24" s="42">
        <f>Fin_Analysis!I81</f>
        <v>6.3176187869769956E-4</v>
      </c>
      <c r="F24" s="39" t="s">
        <v>226</v>
      </c>
      <c r="G24" s="43">
        <f>G3/(Fin_Analysis!H86*G7)</f>
        <v>13.227716404684838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0.86122300232777393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6.5107458912768645E-2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9.9379444704334681</v>
      </c>
      <c r="D29" s="54">
        <f>G29*(1+G20)</f>
        <v>16.615032237526489</v>
      </c>
      <c r="E29" s="3"/>
      <c r="F29" s="55">
        <f>IF(Fin_Analysis!C108="Profit",Fin_Analysis!F100,IF(Fin_Analysis!C108="Dividend",Fin_Analysis!F103,Fin_Analysis!F106))</f>
        <v>11.691699376980552</v>
      </c>
      <c r="G29" s="312">
        <f>IF(Fin_Analysis!C108="Profit",Fin_Analysis!I100,IF(Fin_Analysis!C108="Dividend",Fin_Analysis!I103,Fin_Analysis!I106))</f>
        <v>14.447854119588252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169572.66666666666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USD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1492651</v>
      </c>
      <c r="D6" s="147">
        <f>IF(Inputs!D25="","",Inputs!D25)</f>
        <v>1630771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-8.4696134527778577E-2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1125923</v>
      </c>
      <c r="D8" s="149">
        <f>IF(Inputs!D26="","",Inputs!D26)</f>
        <v>1278644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366728</v>
      </c>
      <c r="D9" s="279">
        <f t="shared" si="2"/>
        <v>352127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196066</v>
      </c>
      <c r="D10" s="149">
        <f>IF(Inputs!D27="","",Inputs!D27)</f>
        <v>201917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1089.3333333333333</v>
      </c>
      <c r="D12" s="149">
        <f>IF(Inputs!D30="","",MAX(Inputs!D30,0)/(1-Fin_Analysis!$I$84))</f>
        <v>1128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0.11360503337127477</v>
      </c>
      <c r="D13" s="300">
        <f t="shared" si="3"/>
        <v>9.1418108367146589E-2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169572.66666666666</v>
      </c>
      <c r="D14" s="302">
        <f t="shared" ref="D14:M14" si="4">IF(D6="","",D9-D10-MAX(D11,0)-MAX(D12,0))</f>
        <v>149082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0.13744561158735902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943</v>
      </c>
      <c r="D17" s="149">
        <f>IF(Inputs!D29="","",Inputs!D29)</f>
        <v>944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168629.66666666666</v>
      </c>
      <c r="D22" s="283">
        <f t="shared" ref="D22:M22" si="8">IF(D6="","",D14-MAX(D16,0)-MAX(D17,0)-ABS(MAX(D21,0)-MAX(D19,0)))</f>
        <v>148138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8.4729953619432807E-2</v>
      </c>
      <c r="D23" s="148">
        <f t="shared" si="9"/>
        <v>6.812943080297601E-2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126472.25</v>
      </c>
      <c r="D24" s="282">
        <f>IF(D6="","",D22*(1-Fin_Analysis!$I$84))</f>
        <v>111103.5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0.13832822548344562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1405109</v>
      </c>
      <c r="D27" s="153">
        <f>IF(D34="","",D34+D30)</f>
        <v>1258083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301607</v>
      </c>
      <c r="D30" s="149">
        <f>IF(Inputs!D37="","",Inputs!D37)</f>
        <v>242134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1103502</v>
      </c>
      <c r="D34" s="149">
        <f>IF(Inputs!D41="","",Inputs!D41)</f>
        <v>1015949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15807</v>
      </c>
      <c r="D35" s="149">
        <f>IF(Inputs!D42="","",Inputs!D42)</f>
        <v>17088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1405109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0.12068292685241262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0.75431095413462357</v>
      </c>
      <c r="D40" s="156">
        <f t="shared" si="34"/>
        <v>0.78407330029783462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0.13135421474946254</v>
      </c>
      <c r="D41" s="151">
        <f t="shared" si="35"/>
        <v>0.12381689397223768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6.3176187869769956E-4</v>
      </c>
      <c r="D43" s="151">
        <f t="shared" si="37"/>
        <v>5.7886729651189528E-4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7.2979774463912414E-4</v>
      </c>
      <c r="D44" s="151">
        <f t="shared" si="38"/>
        <v>6.9169736278116298E-4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0.11297327149257708</v>
      </c>
      <c r="D46" s="289">
        <f t="shared" si="40"/>
        <v>9.0839241070634694E-2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1.0623026398663733</v>
      </c>
      <c r="D48" s="159">
        <f t="shared" si="41"/>
        <v>1.2962348271139503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0.77410008760886162</v>
      </c>
      <c r="D53" s="156">
        <f t="shared" si="45"/>
        <v>0.7939547708696485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5.5921358242618444E-3</v>
      </c>
      <c r="D55" s="151">
        <f t="shared" si="47"/>
        <v>6.3724365119010654E-3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0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0.15590093423861162</v>
      </c>
      <c r="D58" s="162">
        <f t="shared" si="49"/>
        <v>0.14925199802575134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0.15503396325869537</v>
      </c>
      <c r="D59" s="162">
        <f t="shared" si="50"/>
        <v>0.1483069215836838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1103502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1087695</v>
      </c>
      <c r="K3" s="75"/>
    </row>
    <row r="4" spans="1:11" ht="15" customHeight="1" x14ac:dyDescent="0.35">
      <c r="B4" s="9" t="s">
        <v>21</v>
      </c>
      <c r="C4" s="3"/>
      <c r="D4" s="149">
        <f>Inputs!C42</f>
        <v>15807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75">
        <f>(E49-I49-E53)</f>
        <v>-325570.84207656933</v>
      </c>
      <c r="E6" s="176">
        <f>1-D6/D3</f>
        <v>1.2950342111537354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301607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>
        <f>(E44+E45+E24+E25)/$I$49</f>
        <v>0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301607</v>
      </c>
      <c r="J48" s="193"/>
    </row>
    <row r="49" spans="2:11" ht="15" customHeight="1" thickTop="1" x14ac:dyDescent="0.35">
      <c r="B49" s="9" t="s">
        <v>13</v>
      </c>
      <c r="C49" s="190">
        <f>Inputs!C41+Inputs!C37</f>
        <v>1405109</v>
      </c>
      <c r="D49" s="176">
        <f>E49/C49</f>
        <v>0</v>
      </c>
      <c r="E49" s="182">
        <f>E28+E48</f>
        <v>0</v>
      </c>
      <c r="F49" s="3"/>
      <c r="G49" s="3"/>
      <c r="H49" s="9" t="s">
        <v>78</v>
      </c>
      <c r="I49" s="181">
        <f>Inputs!C37</f>
        <v>301607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15807</v>
      </c>
      <c r="D53" s="34">
        <f>IF(E53=0, 0,E53/C53)</f>
        <v>1.5160272079818629</v>
      </c>
      <c r="E53" s="182">
        <f>IF(C53=0,0,MAX(C53,C53*Dashboard!G23))</f>
        <v>23963.842076569304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-2.8521198801051981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-2.8521198801051981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-2.8521198801051981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1405109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301607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1103502</v>
      </c>
      <c r="D70" s="34">
        <f t="shared" si="2"/>
        <v>-0.27331803657809411</v>
      </c>
      <c r="E70" s="208">
        <f>E68-E69</f>
        <v>-301607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1000USD)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1492651</v>
      </c>
      <c r="D74" s="103"/>
      <c r="E74" s="262">
        <f>Inputs!E91</f>
        <v>1492651</v>
      </c>
      <c r="F74" s="103"/>
      <c r="H74" s="262">
        <f>Inputs!F91</f>
        <v>1492651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1125923</v>
      </c>
      <c r="D75" s="106">
        <f>C75/$C$74</f>
        <v>0.75431095413462357</v>
      </c>
      <c r="E75" s="262">
        <f>Inputs!E92</f>
        <v>1125923</v>
      </c>
      <c r="F75" s="217">
        <f>E75/E74</f>
        <v>0.75431095413462357</v>
      </c>
      <c r="H75" s="262">
        <f>Inputs!F92</f>
        <v>1125923</v>
      </c>
      <c r="I75" s="217">
        <f>H75/$H$74</f>
        <v>0.75431095413462357</v>
      </c>
      <c r="K75" s="75"/>
    </row>
    <row r="76" spans="1:11" ht="15" customHeight="1" x14ac:dyDescent="0.35">
      <c r="B76" s="12" t="s">
        <v>87</v>
      </c>
      <c r="C76" s="150">
        <f>C74-C75</f>
        <v>366728</v>
      </c>
      <c r="D76" s="218"/>
      <c r="E76" s="219">
        <f>E74-E75</f>
        <v>366728</v>
      </c>
      <c r="F76" s="218"/>
      <c r="H76" s="219">
        <f>H74-H75</f>
        <v>366728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196066</v>
      </c>
      <c r="D77" s="106">
        <f>C77/$C$74</f>
        <v>0.13135421474946254</v>
      </c>
      <c r="E77" s="262">
        <f>Inputs!E93</f>
        <v>196066.00000000003</v>
      </c>
      <c r="F77" s="217">
        <f>E77/E74</f>
        <v>0.13135421474946254</v>
      </c>
      <c r="H77" s="262">
        <f>Inputs!F93</f>
        <v>196066.00000000003</v>
      </c>
      <c r="I77" s="217">
        <f>H77/$H$74</f>
        <v>0.13135421474946254</v>
      </c>
      <c r="K77" s="75"/>
    </row>
    <row r="78" spans="1:11" ht="15" customHeight="1" x14ac:dyDescent="0.35">
      <c r="B78" s="98" t="s">
        <v>152</v>
      </c>
      <c r="C78" s="102">
        <f>MAX(Data!C12,0)</f>
        <v>1089.3333333333333</v>
      </c>
      <c r="D78" s="106">
        <f>C78/$C$74</f>
        <v>7.2979774463912414E-4</v>
      </c>
      <c r="E78" s="220">
        <f>E74*F78</f>
        <v>1089.3333333333333</v>
      </c>
      <c r="F78" s="217">
        <f>I78</f>
        <v>7.2979774463912414E-4</v>
      </c>
      <c r="H78" s="262">
        <f>Inputs!F97</f>
        <v>1089.3333333333333</v>
      </c>
      <c r="I78" s="217">
        <f>H78/$H$74</f>
        <v>7.2979774463912414E-4</v>
      </c>
      <c r="K78" s="75"/>
    </row>
    <row r="79" spans="1:11" ht="15" customHeight="1" x14ac:dyDescent="0.35">
      <c r="B79" s="221" t="s">
        <v>205</v>
      </c>
      <c r="C79" s="222">
        <f>C76-C77-C78</f>
        <v>169572.66666666666</v>
      </c>
      <c r="D79" s="223">
        <f>C79/C74</f>
        <v>0.11360503337127477</v>
      </c>
      <c r="E79" s="224">
        <f>E76-E77-E78</f>
        <v>169572.66666666663</v>
      </c>
      <c r="F79" s="223">
        <f>E79/E74</f>
        <v>0.11360503337127476</v>
      </c>
      <c r="G79" s="225"/>
      <c r="H79" s="224">
        <f>H76-H77-H78</f>
        <v>169572.66666666663</v>
      </c>
      <c r="I79" s="223">
        <f>H79/H74</f>
        <v>0.11360503337127476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943</v>
      </c>
      <c r="D81" s="106">
        <f>C81/$C$74</f>
        <v>6.3176187869769956E-4</v>
      </c>
      <c r="E81" s="220">
        <f>E74*F81</f>
        <v>943</v>
      </c>
      <c r="F81" s="217">
        <f>I81</f>
        <v>6.3176187869769956E-4</v>
      </c>
      <c r="H81" s="262">
        <f>Inputs!F94</f>
        <v>943</v>
      </c>
      <c r="I81" s="217">
        <f>H81/$H$74</f>
        <v>6.3176187869769956E-4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168629.66666666666</v>
      </c>
      <c r="D83" s="229">
        <f>C83/$C$74</f>
        <v>0.11297327149257708</v>
      </c>
      <c r="E83" s="230">
        <f>E79-E81-E82-E80</f>
        <v>168629.66666666663</v>
      </c>
      <c r="F83" s="229">
        <f>E83/E74</f>
        <v>0.11297327149257705</v>
      </c>
      <c r="H83" s="230">
        <f>H79-H81-H82-H80</f>
        <v>168629.66666666663</v>
      </c>
      <c r="I83" s="229">
        <f>H83/$H$74</f>
        <v>0.11297327149257705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126472.25</v>
      </c>
      <c r="D85" s="223">
        <f>C85/$C$74</f>
        <v>8.4729953619432807E-2</v>
      </c>
      <c r="E85" s="235">
        <f>E83*(1-F84)</f>
        <v>126472.24999999997</v>
      </c>
      <c r="F85" s="223">
        <f>E85/E74</f>
        <v>8.4729953619432793E-2</v>
      </c>
      <c r="G85" s="225"/>
      <c r="H85" s="235">
        <f>H83*(1-I84)</f>
        <v>126472.24999999997</v>
      </c>
      <c r="I85" s="223">
        <f>H85/$H$74</f>
        <v>8.4729953619432793E-2</v>
      </c>
      <c r="K85" s="75"/>
    </row>
    <row r="86" spans="1:11" ht="15" customHeight="1" x14ac:dyDescent="0.35">
      <c r="B86" s="3" t="s">
        <v>145</v>
      </c>
      <c r="C86" s="236">
        <f>C85*Data!C4/Common_Shares</f>
        <v>0.15401591765829825</v>
      </c>
      <c r="D86" s="103"/>
      <c r="E86" s="237">
        <f>E85*Data!C4/Common_Shares</f>
        <v>0.15401591765829822</v>
      </c>
      <c r="F86" s="103"/>
      <c r="H86" s="237">
        <f>H85*Data!C4/Common_Shares</f>
        <v>0.15401591765829822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7.5598838787156938E-2</v>
      </c>
      <c r="D87" s="103"/>
      <c r="E87" s="239">
        <f>E86*Exchange_Rate/Dashboard!G3</f>
        <v>7.5598838787156925E-2</v>
      </c>
      <c r="F87" s="103"/>
      <c r="H87" s="239">
        <f>H86*Exchange_Rate/Dashboard!G3</f>
        <v>7.5598838787156925E-2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0.13264205101194682</v>
      </c>
      <c r="D88" s="241">
        <f>C88/C86</f>
        <v>0.86122300232777382</v>
      </c>
      <c r="E88" s="261">
        <f>Inputs!E98</f>
        <v>0.13264205101194682</v>
      </c>
      <c r="F88" s="241">
        <f>E88/E86</f>
        <v>0.86122300232777393</v>
      </c>
      <c r="H88" s="261">
        <f>Inputs!F98</f>
        <v>0.13264205101194682</v>
      </c>
      <c r="I88" s="241">
        <f>H88/H86</f>
        <v>0.86122300232777393</v>
      </c>
      <c r="K88" s="75"/>
    </row>
    <row r="89" spans="1:11" ht="15" customHeight="1" x14ac:dyDescent="0.35">
      <c r="B89" s="3" t="s">
        <v>195</v>
      </c>
      <c r="C89" s="238">
        <f>C88*Exchange_Rate/Dashboard!G3</f>
        <v>6.5107458912768645E-2</v>
      </c>
      <c r="D89" s="103"/>
      <c r="E89" s="238">
        <f>E88*Exchange_Rate/Dashboard!G3</f>
        <v>6.5107458912768645E-2</v>
      </c>
      <c r="F89" s="103"/>
      <c r="H89" s="238">
        <f>H88*Exchange_Rate/Dashboard!G3</f>
        <v>6.5107458912768645E-2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22.463979562009136</v>
      </c>
      <c r="H93" s="3" t="s">
        <v>184</v>
      </c>
      <c r="I93" s="243">
        <f>FV(H87,D93,0,-(H86/(C93-D94)))*Exchange_Rate</f>
        <v>22.463979562009136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18.785883304766553</v>
      </c>
      <c r="H94" s="3" t="s">
        <v>185</v>
      </c>
      <c r="I94" s="243">
        <f>FV(H89,D93,0,-(H88/(C93-D94)))*Exchange_Rate</f>
        <v>18.785883304766553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12128938.986483369</v>
      </c>
      <c r="D97" s="250"/>
      <c r="E97" s="251">
        <f>PV(C94,D93,0,-F93)</f>
        <v>14.770431207041435</v>
      </c>
      <c r="F97" s="250"/>
      <c r="H97" s="251">
        <f>PV(C94,D93,0,-I93)</f>
        <v>14.770431207041435</v>
      </c>
      <c r="I97" s="251">
        <f>PV(C93,D93,0,-I93)</f>
        <v>17.526585949649135</v>
      </c>
      <c r="K97" s="75"/>
    </row>
    <row r="98" spans="2:11" ht="15" customHeight="1" x14ac:dyDescent="0.35">
      <c r="B98" s="18" t="s">
        <v>134</v>
      </c>
      <c r="C98" s="249">
        <f>-E53*Exchange_Rate</f>
        <v>-186085.46196743639</v>
      </c>
      <c r="D98" s="250"/>
      <c r="E98" s="250"/>
      <c r="F98" s="250"/>
      <c r="H98" s="251">
        <f>C98*Data!$C$4/Common_Shares</f>
        <v>-0.22661194995568654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-2342056.7431667647</v>
      </c>
      <c r="D99" s="254"/>
      <c r="E99" s="255">
        <f>IF(H99&gt;0,I64,H99)</f>
        <v>-2.8521198801051981</v>
      </c>
      <c r="F99" s="254"/>
      <c r="H99" s="255">
        <f>I64</f>
        <v>-2.8521198801051981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9.9379444704334681</v>
      </c>
      <c r="E100" s="257">
        <f>MAX(E97+H98+E99,0)</f>
        <v>11.691699376980552</v>
      </c>
      <c r="F100" s="257">
        <f>(E100+H100)/2</f>
        <v>11.691699376980552</v>
      </c>
      <c r="H100" s="257">
        <f>MAX(H97+H98+H99,0)</f>
        <v>11.691699376980552</v>
      </c>
      <c r="I100" s="257">
        <f>MAX(I97+H98+H99,0)</f>
        <v>14.447854119588252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10.499219731438529</v>
      </c>
      <c r="E103" s="251">
        <f>PV(C94,D93,0,-F94)</f>
        <v>12.352023213457095</v>
      </c>
      <c r="F103" s="257">
        <f>(E103+H103)/2</f>
        <v>12.352023213457095</v>
      </c>
      <c r="H103" s="251">
        <f>PV(C94,D93,0,-I94)</f>
        <v>12.352023213457095</v>
      </c>
      <c r="I103" s="257">
        <f>PV(C93,D93,0,-I94)</f>
        <v>14.656904288583766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10.218582100935999</v>
      </c>
      <c r="E106" s="251">
        <f>(E100+E103)/2</f>
        <v>12.021861295218823</v>
      </c>
      <c r="F106" s="257">
        <f>(F100+F103)/2</f>
        <v>12.021861295218823</v>
      </c>
      <c r="H106" s="251">
        <f>(H100+H103)/2</f>
        <v>12.021861295218823</v>
      </c>
      <c r="I106" s="251">
        <f>(I100+I103)/2</f>
        <v>14.552379204086009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45624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